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905-VME-JKNQJ02\Users\edelgado\Documents\RedPlanificacion\INDICADORES\IGI\IGI 2012\"/>
    </mc:Choice>
  </mc:AlternateContent>
  <workbookProtection workbookPassword="D3B5" lockStructure="1"/>
  <bookViews>
    <workbookView xWindow="360" yWindow="780" windowWidth="12240" windowHeight="7095"/>
  </bookViews>
  <sheets>
    <sheet name="Instrucciones" sheetId="3" r:id="rId1"/>
    <sheet name="Para-responder" sheetId="1" r:id="rId2"/>
    <sheet name="Por-tema" sheetId="6" state="hidden" r:id="rId3"/>
    <sheet name="Cuestionario" sheetId="2" state="hidden" r:id="rId4"/>
    <sheet name="Resultados" sheetId="5" r:id="rId5"/>
    <sheet name="Ejes" sheetId="7" state="hidden" r:id="rId6"/>
    <sheet name="Indicadores" sheetId="4" r:id="rId7"/>
  </sheets>
  <definedNames>
    <definedName name="_xlnm.Print_Area" localSheetId="0">Instrucciones!$B$2:$IO$65536</definedName>
    <definedName name="_xlnm.Print_Area" localSheetId="1">'Para-responder'!$A$1:$E$179</definedName>
    <definedName name="DatosContable">Cuestionario!$R$11:$R$13</definedName>
    <definedName name="inst">Cuestionario!$Q$10:$Q$14</definedName>
    <definedName name="noap">Cuestionario!$O$11:$O$13</definedName>
    <definedName name="sino">Cuestionario!$O$11:$O$12</definedName>
    <definedName name="_xlnm.Print_Titles" localSheetId="1">'Para-responder'!$7:$8</definedName>
  </definedNames>
  <calcPr calcId="152511"/>
</workbook>
</file>

<file path=xl/calcChain.xml><?xml version="1.0" encoding="utf-8"?>
<calcChain xmlns="http://schemas.openxmlformats.org/spreadsheetml/2006/main">
  <c r="C11" i="2" l="1"/>
  <c r="C12" i="2"/>
  <c r="D12" i="2"/>
  <c r="C14" i="2"/>
  <c r="Q21" i="2" s="1"/>
  <c r="N21" i="2" s="1"/>
  <c r="C13" i="2"/>
  <c r="D13" i="2" s="1"/>
  <c r="C15" i="2"/>
  <c r="D15" i="2" s="1"/>
  <c r="C84" i="2"/>
  <c r="D84" i="2" s="1"/>
  <c r="C32" i="2"/>
  <c r="C96" i="2"/>
  <c r="D96" i="2"/>
  <c r="C95" i="2"/>
  <c r="C109" i="2"/>
  <c r="N47" i="2"/>
  <c r="C225" i="2"/>
  <c r="C164" i="2"/>
  <c r="C190" i="2"/>
  <c r="C194" i="2" s="1"/>
  <c r="C192" i="2" s="1"/>
  <c r="C181" i="2"/>
  <c r="C182" i="2"/>
  <c r="A2" i="7"/>
  <c r="Q49" i="2"/>
  <c r="D22" i="1"/>
  <c r="D23" i="1"/>
  <c r="D24" i="1"/>
  <c r="D25" i="1"/>
  <c r="D26" i="1"/>
  <c r="D27" i="1"/>
  <c r="D28" i="1"/>
  <c r="D29" i="1"/>
  <c r="D30" i="1"/>
  <c r="D31" i="1"/>
  <c r="D21" i="1"/>
  <c r="D19" i="1"/>
  <c r="C145" i="1"/>
  <c r="C193" i="2" s="1"/>
  <c r="C147" i="1"/>
  <c r="C200" i="2"/>
  <c r="C154" i="2"/>
  <c r="C197" i="2"/>
  <c r="C201" i="2"/>
  <c r="C165" i="2"/>
  <c r="C195" i="2" s="1"/>
  <c r="C26" i="6"/>
  <c r="C38" i="6"/>
  <c r="C37" i="6"/>
  <c r="C36" i="6"/>
  <c r="C35" i="6"/>
  <c r="C34" i="6"/>
  <c r="C33" i="6"/>
  <c r="C32" i="6"/>
  <c r="C31" i="6"/>
  <c r="C30" i="6"/>
  <c r="C29" i="6"/>
  <c r="C28" i="6"/>
  <c r="C70" i="6"/>
  <c r="C71" i="6"/>
  <c r="C69" i="6"/>
  <c r="C67" i="6"/>
  <c r="C66" i="6"/>
  <c r="C65" i="6"/>
  <c r="C63" i="6"/>
  <c r="C62" i="6"/>
  <c r="C61" i="6"/>
  <c r="C60" i="6"/>
  <c r="C58" i="6"/>
  <c r="C57" i="6"/>
  <c r="C56" i="6"/>
  <c r="C55" i="6"/>
  <c r="C54" i="6"/>
  <c r="C53" i="6"/>
  <c r="C52" i="6"/>
  <c r="C51" i="6"/>
  <c r="C50" i="6"/>
  <c r="C75" i="6" s="1"/>
  <c r="C49" i="6"/>
  <c r="C48" i="6"/>
  <c r="C47" i="6"/>
  <c r="C80" i="6"/>
  <c r="C81" i="6"/>
  <c r="C93" i="6" s="1"/>
  <c r="C82" i="6"/>
  <c r="C89" i="6"/>
  <c r="C88" i="6"/>
  <c r="C87" i="6"/>
  <c r="C86" i="6"/>
  <c r="C85" i="6"/>
  <c r="C84" i="6"/>
  <c r="C83" i="6"/>
  <c r="C90" i="6"/>
  <c r="C108" i="6"/>
  <c r="C107" i="6"/>
  <c r="C106" i="6"/>
  <c r="C105" i="6"/>
  <c r="C104" i="6"/>
  <c r="C103" i="6"/>
  <c r="C102" i="6"/>
  <c r="C101" i="6"/>
  <c r="C100" i="6"/>
  <c r="C99" i="6"/>
  <c r="C112" i="6" s="1"/>
  <c r="C128" i="6"/>
  <c r="C127" i="6"/>
  <c r="C126" i="6"/>
  <c r="C124" i="6"/>
  <c r="C123" i="6"/>
  <c r="C122" i="6"/>
  <c r="C121" i="6"/>
  <c r="C119" i="6"/>
  <c r="C118" i="6"/>
  <c r="C117" i="6"/>
  <c r="C155" i="6"/>
  <c r="C154" i="6"/>
  <c r="C153" i="6"/>
  <c r="C152" i="6"/>
  <c r="C151" i="6"/>
  <c r="C150" i="6"/>
  <c r="C149" i="6"/>
  <c r="C148" i="6"/>
  <c r="C147" i="6"/>
  <c r="C146" i="6"/>
  <c r="C145" i="6"/>
  <c r="C144" i="6"/>
  <c r="C143" i="6"/>
  <c r="C142" i="6"/>
  <c r="C139" i="6"/>
  <c r="C140" i="6"/>
  <c r="C138" i="6"/>
  <c r="C137" i="6"/>
  <c r="C136" i="6"/>
  <c r="C167" i="6"/>
  <c r="C166" i="6"/>
  <c r="C165" i="6"/>
  <c r="C170" i="6" s="1"/>
  <c r="C164" i="6"/>
  <c r="C163" i="6"/>
  <c r="C16" i="6"/>
  <c r="C17" i="6"/>
  <c r="C18" i="6"/>
  <c r="C15" i="6"/>
  <c r="C14" i="6"/>
  <c r="C13" i="6"/>
  <c r="C20" i="6" s="1"/>
  <c r="C12" i="6"/>
  <c r="B6" i="2"/>
  <c r="B4" i="2"/>
  <c r="C3" i="6"/>
  <c r="A2" i="5"/>
  <c r="B192" i="6"/>
  <c r="B190" i="6"/>
  <c r="B189" i="6"/>
  <c r="B188" i="6"/>
  <c r="B187" i="6"/>
  <c r="B186" i="6"/>
  <c r="B185" i="6"/>
  <c r="B184" i="6"/>
  <c r="B183" i="6"/>
  <c r="C220" i="2"/>
  <c r="C243" i="2" s="1"/>
  <c r="C172" i="2" s="1"/>
  <c r="C155" i="2"/>
  <c r="C152" i="2" s="1"/>
  <c r="C157" i="2"/>
  <c r="C156" i="2" s="1"/>
  <c r="C158" i="2"/>
  <c r="C160" i="2"/>
  <c r="C188" i="2"/>
  <c r="C187" i="2"/>
  <c r="D187" i="2" s="1"/>
  <c r="C186" i="2"/>
  <c r="C185" i="2"/>
  <c r="D185" i="2"/>
  <c r="C178" i="2"/>
  <c r="Q54" i="2"/>
  <c r="R54" i="2" s="1"/>
  <c r="S54" i="2"/>
  <c r="C210" i="2"/>
  <c r="C208" i="2" s="1"/>
  <c r="C205" i="2"/>
  <c r="Q64" i="2" s="1"/>
  <c r="S64" i="2" s="1"/>
  <c r="C49" i="2"/>
  <c r="D49" i="2" s="1"/>
  <c r="C50" i="2"/>
  <c r="D50" i="2" s="1"/>
  <c r="C51" i="2"/>
  <c r="D51" i="2" s="1"/>
  <c r="C52" i="2"/>
  <c r="D52" i="2" s="1"/>
  <c r="C56" i="2"/>
  <c r="C55" i="2"/>
  <c r="C54" i="2"/>
  <c r="D54" i="2" s="1"/>
  <c r="C53" i="2"/>
  <c r="D53" i="2" s="1"/>
  <c r="C83" i="2"/>
  <c r="C82" i="2"/>
  <c r="D82" i="2" s="1"/>
  <c r="C81" i="2"/>
  <c r="D81" i="2" s="1"/>
  <c r="C18" i="2"/>
  <c r="D18" i="2" s="1"/>
  <c r="C23" i="2"/>
  <c r="C22" i="2"/>
  <c r="C21" i="2"/>
  <c r="D21" i="2" s="1"/>
  <c r="C20" i="2"/>
  <c r="C26" i="2"/>
  <c r="D26" i="2" s="1"/>
  <c r="C25" i="2"/>
  <c r="D25" i="2" s="1"/>
  <c r="C24" i="2"/>
  <c r="D24" i="2" s="1"/>
  <c r="C45" i="2"/>
  <c r="D45" i="2" s="1"/>
  <c r="C43" i="2"/>
  <c r="D43" i="2" s="1"/>
  <c r="C42" i="2"/>
  <c r="D42" i="2" s="1"/>
  <c r="C41" i="2"/>
  <c r="D41" i="2" s="1"/>
  <c r="C40" i="2"/>
  <c r="D40" i="2" s="1"/>
  <c r="C38" i="2"/>
  <c r="D38" i="2" s="1"/>
  <c r="C37" i="2"/>
  <c r="D37" i="2" s="1"/>
  <c r="C35" i="2"/>
  <c r="D35" i="2" s="1"/>
  <c r="C34" i="2"/>
  <c r="D34" i="2"/>
  <c r="C33" i="2"/>
  <c r="D33" i="2" s="1"/>
  <c r="C31" i="2"/>
  <c r="D31" i="2" s="1"/>
  <c r="C30" i="2"/>
  <c r="Q23" i="2" s="1"/>
  <c r="N23" i="2" s="1"/>
  <c r="C61" i="2"/>
  <c r="D61" i="2" s="1"/>
  <c r="C60" i="2"/>
  <c r="C63" i="2"/>
  <c r="D63" i="2" s="1"/>
  <c r="C62" i="2"/>
  <c r="D62" i="2" s="1"/>
  <c r="C69" i="2"/>
  <c r="C68" i="2"/>
  <c r="C67" i="2"/>
  <c r="C72" i="2"/>
  <c r="D72" i="2" s="1"/>
  <c r="C71" i="2"/>
  <c r="D71" i="2" s="1"/>
  <c r="C74" i="2"/>
  <c r="D74" i="2"/>
  <c r="C73" i="2"/>
  <c r="D73" i="2" s="1"/>
  <c r="C78" i="2"/>
  <c r="D78" i="2" s="1"/>
  <c r="C77" i="2"/>
  <c r="D77" i="2" s="1"/>
  <c r="C76" i="2"/>
  <c r="D76" i="2" s="1"/>
  <c r="C90" i="2"/>
  <c r="Q28" i="2" s="1"/>
  <c r="C89" i="2"/>
  <c r="P28" i="2" s="1"/>
  <c r="U28" i="2" s="1"/>
  <c r="C88" i="2"/>
  <c r="D88" i="2" s="1"/>
  <c r="C115" i="2"/>
  <c r="D115" i="2" s="1"/>
  <c r="C116" i="2"/>
  <c r="D116" i="2"/>
  <c r="C114" i="2"/>
  <c r="D114" i="2" s="1"/>
  <c r="C112" i="2"/>
  <c r="D112" i="2" s="1"/>
  <c r="C111" i="2"/>
  <c r="C107" i="2"/>
  <c r="D107" i="2" s="1"/>
  <c r="C106" i="2"/>
  <c r="D106" i="2" s="1"/>
  <c r="C120" i="2"/>
  <c r="D120" i="2" s="1"/>
  <c r="C119" i="2"/>
  <c r="D119" i="2" s="1"/>
  <c r="C121" i="2"/>
  <c r="D121" i="2" s="1"/>
  <c r="C143" i="2"/>
  <c r="D143" i="2" s="1"/>
  <c r="C142" i="2"/>
  <c r="D142" i="2" s="1"/>
  <c r="C141" i="2"/>
  <c r="C140" i="2"/>
  <c r="C139" i="2"/>
  <c r="D139" i="2" s="1"/>
  <c r="C138" i="2"/>
  <c r="C137" i="2"/>
  <c r="D137" i="2" s="1"/>
  <c r="C136" i="2"/>
  <c r="D136" i="2" s="1"/>
  <c r="C135" i="2"/>
  <c r="D135" i="2" s="1"/>
  <c r="C134" i="2"/>
  <c r="D134" i="2" s="1"/>
  <c r="C133" i="2"/>
  <c r="D133" i="2" s="1"/>
  <c r="C132" i="2"/>
  <c r="D132" i="2"/>
  <c r="C131" i="2"/>
  <c r="D131" i="2"/>
  <c r="C130" i="2"/>
  <c r="D130" i="2" s="1"/>
  <c r="C128" i="2"/>
  <c r="D128" i="2"/>
  <c r="C102" i="2"/>
  <c r="C101" i="2"/>
  <c r="D101" i="2" s="1"/>
  <c r="C100" i="2"/>
  <c r="C99" i="2"/>
  <c r="C125" i="2"/>
  <c r="Q35" i="2" s="1"/>
  <c r="N35" i="2" s="1"/>
  <c r="C124" i="2"/>
  <c r="D124" i="2"/>
  <c r="C147" i="2"/>
  <c r="D147" i="2" s="1"/>
  <c r="C146" i="2"/>
  <c r="C156" i="1"/>
  <c r="C224" i="2"/>
  <c r="C232" i="2"/>
  <c r="C221" i="2"/>
  <c r="C231" i="2"/>
  <c r="C230" i="2"/>
  <c r="C229" i="2"/>
  <c r="C227" i="2"/>
  <c r="C226" i="2"/>
  <c r="C222" i="2"/>
  <c r="C209" i="2"/>
  <c r="C161" i="2"/>
  <c r="Q46" i="2" s="1"/>
  <c r="C159" i="2"/>
  <c r="D11" i="2"/>
  <c r="D14" i="2"/>
  <c r="D20" i="2"/>
  <c r="D23" i="2"/>
  <c r="D55" i="2"/>
  <c r="D56" i="2"/>
  <c r="D60" i="2"/>
  <c r="Q67" i="2"/>
  <c r="D68" i="2"/>
  <c r="Q68" i="2"/>
  <c r="R68" i="2"/>
  <c r="S68" i="2"/>
  <c r="D95" i="2"/>
  <c r="D100" i="2"/>
  <c r="D102" i="2"/>
  <c r="D109" i="2"/>
  <c r="D111" i="2"/>
  <c r="D138" i="2"/>
  <c r="D141" i="2"/>
  <c r="D146" i="2"/>
  <c r="D10" i="1"/>
  <c r="D11" i="1"/>
  <c r="D12" i="1"/>
  <c r="D13" i="1"/>
  <c r="D14" i="1"/>
  <c r="D15" i="1"/>
  <c r="D16" i="1"/>
  <c r="D35" i="1"/>
  <c r="D36" i="1"/>
  <c r="D37" i="1"/>
  <c r="D38" i="1"/>
  <c r="D39" i="1"/>
  <c r="D40" i="1"/>
  <c r="D41" i="1"/>
  <c r="D42" i="1"/>
  <c r="D44" i="1"/>
  <c r="D45" i="1"/>
  <c r="D46" i="1"/>
  <c r="D48" i="1"/>
  <c r="D49" i="1"/>
  <c r="D50" i="1"/>
  <c r="D51" i="1"/>
  <c r="D53" i="1"/>
  <c r="D54" i="1"/>
  <c r="D55" i="1"/>
  <c r="D57" i="1"/>
  <c r="D58" i="1"/>
  <c r="D59" i="1"/>
  <c r="D63" i="1"/>
  <c r="D64" i="1"/>
  <c r="D65" i="1"/>
  <c r="D66" i="1"/>
  <c r="D67" i="1"/>
  <c r="D68" i="1"/>
  <c r="D69" i="1"/>
  <c r="D70" i="1"/>
  <c r="D71" i="1"/>
  <c r="D72" i="1"/>
  <c r="D73" i="1"/>
  <c r="D77" i="1"/>
  <c r="D81" i="1"/>
  <c r="D82" i="1"/>
  <c r="D83" i="1"/>
  <c r="D84" i="1"/>
  <c r="D85" i="1"/>
  <c r="D86" i="1"/>
  <c r="D90" i="1"/>
  <c r="D91" i="1"/>
  <c r="D92" i="1"/>
  <c r="D94" i="1"/>
  <c r="D95" i="1"/>
  <c r="D96" i="1"/>
  <c r="D97" i="1"/>
  <c r="D99" i="1"/>
  <c r="D100" i="1"/>
  <c r="D101" i="1"/>
  <c r="D104" i="1"/>
  <c r="D105" i="1"/>
  <c r="D106" i="1"/>
  <c r="D107" i="1"/>
  <c r="D108" i="1"/>
  <c r="D110" i="1"/>
  <c r="D111" i="1"/>
  <c r="D113" i="1"/>
  <c r="D114" i="1"/>
  <c r="D115" i="1"/>
  <c r="D116" i="1"/>
  <c r="D117" i="1"/>
  <c r="D118" i="1"/>
  <c r="D120" i="1"/>
  <c r="D121" i="1"/>
  <c r="D122" i="1"/>
  <c r="D123" i="1"/>
  <c r="D126" i="1"/>
  <c r="D127" i="1"/>
  <c r="D128" i="1"/>
  <c r="D129" i="1"/>
  <c r="D130" i="1"/>
  <c r="D30" i="2"/>
  <c r="R64" i="2"/>
  <c r="U63" i="2" s="1"/>
  <c r="D69" i="2"/>
  <c r="D22" i="2"/>
  <c r="D83" i="2"/>
  <c r="D186" i="2"/>
  <c r="Q25" i="2"/>
  <c r="N25" i="2" s="1"/>
  <c r="D188" i="2"/>
  <c r="D32" i="2"/>
  <c r="F23" i="4" l="1"/>
  <c r="Q66" i="2"/>
  <c r="R66" i="2" s="1"/>
  <c r="F5" i="4"/>
  <c r="C168" i="2"/>
  <c r="Q44" i="2"/>
  <c r="C153" i="2"/>
  <c r="Q42" i="2" s="1"/>
  <c r="N42" i="2" s="1"/>
  <c r="P26" i="2"/>
  <c r="U26" i="2" s="1"/>
  <c r="C11" i="7" s="1"/>
  <c r="U53" i="2"/>
  <c r="P58" i="2"/>
  <c r="C110" i="6"/>
  <c r="C113" i="6" s="1"/>
  <c r="C187" i="6" s="1"/>
  <c r="C10" i="5" s="1"/>
  <c r="P35" i="2"/>
  <c r="C169" i="6"/>
  <c r="C158" i="6"/>
  <c r="C159" i="6"/>
  <c r="C171" i="6"/>
  <c r="C172" i="6" s="1"/>
  <c r="C190" i="6" s="1"/>
  <c r="C13" i="5" s="1"/>
  <c r="C94" i="6"/>
  <c r="D125" i="2"/>
  <c r="C22" i="6"/>
  <c r="D89" i="2"/>
  <c r="C131" i="6"/>
  <c r="C180" i="2"/>
  <c r="D67" i="2"/>
  <c r="C41" i="6"/>
  <c r="P24" i="2"/>
  <c r="U24" i="2" s="1"/>
  <c r="C9" i="7" s="1"/>
  <c r="P31" i="2"/>
  <c r="U31" i="2" s="1"/>
  <c r="C16" i="7"/>
  <c r="T46" i="2"/>
  <c r="R46" i="2"/>
  <c r="S46" i="2"/>
  <c r="C13" i="7"/>
  <c r="Q48" i="2"/>
  <c r="F17" i="4"/>
  <c r="Q60" i="2"/>
  <c r="F15" i="4"/>
  <c r="C132" i="6"/>
  <c r="C133" i="6" s="1"/>
  <c r="C188" i="6" s="1"/>
  <c r="C11" i="5" s="1"/>
  <c r="C178" i="6"/>
  <c r="P27" i="2"/>
  <c r="U27" i="2" s="1"/>
  <c r="C130" i="6"/>
  <c r="C157" i="6"/>
  <c r="C111" i="6"/>
  <c r="U35" i="2"/>
  <c r="C20" i="7" s="1"/>
  <c r="C21" i="6"/>
  <c r="D140" i="2"/>
  <c r="P37" i="2"/>
  <c r="U37" i="2" s="1"/>
  <c r="C21" i="7" s="1"/>
  <c r="C92" i="6"/>
  <c r="C95" i="6" s="1"/>
  <c r="C186" i="6" s="1"/>
  <c r="C9" i="5" s="1"/>
  <c r="C74" i="6"/>
  <c r="C73" i="6"/>
  <c r="C40" i="6"/>
  <c r="C42" i="6"/>
  <c r="T44" i="2"/>
  <c r="P34" i="2"/>
  <c r="U34" i="2" s="1"/>
  <c r="C19" i="7" s="1"/>
  <c r="P22" i="2"/>
  <c r="U22" i="2" s="1"/>
  <c r="D90" i="2"/>
  <c r="P38" i="2"/>
  <c r="U38" i="2" s="1"/>
  <c r="C22" i="7" s="1"/>
  <c r="P33" i="2"/>
  <c r="U33" i="2" s="1"/>
  <c r="C18" i="7" s="1"/>
  <c r="P25" i="2"/>
  <c r="U25" i="2" s="1"/>
  <c r="C219" i="2"/>
  <c r="C165" i="1"/>
  <c r="P32" i="2"/>
  <c r="U32" i="2" s="1"/>
  <c r="C17" i="7" s="1"/>
  <c r="D99" i="2"/>
  <c r="C163" i="2"/>
  <c r="C191" i="2"/>
  <c r="C189" i="2" s="1"/>
  <c r="P21" i="2"/>
  <c r="U21" i="2" s="1"/>
  <c r="P23" i="2"/>
  <c r="U23" i="2" s="1"/>
  <c r="C23" i="6" l="1"/>
  <c r="C183" i="6" s="1"/>
  <c r="C6" i="5" s="1"/>
  <c r="Q56" i="2"/>
  <c r="F25" i="4"/>
  <c r="S44" i="2"/>
  <c r="R44" i="2"/>
  <c r="P77" i="2"/>
  <c r="C177" i="6"/>
  <c r="C160" i="6"/>
  <c r="C189" i="6" s="1"/>
  <c r="C12" i="5" s="1"/>
  <c r="S66" i="2"/>
  <c r="U65" i="2" s="1"/>
  <c r="P79" i="2" s="1"/>
  <c r="P42" i="2"/>
  <c r="C10" i="7"/>
  <c r="R48" i="2"/>
  <c r="U47" i="2" s="1"/>
  <c r="P73" i="2" s="1"/>
  <c r="S48" i="2"/>
  <c r="V30" i="2"/>
  <c r="C6" i="7"/>
  <c r="C43" i="6"/>
  <c r="C184" i="6" s="1"/>
  <c r="C7" i="5" s="1"/>
  <c r="C7" i="7"/>
  <c r="C76" i="6"/>
  <c r="C185" i="6" s="1"/>
  <c r="C8" i="5" s="1"/>
  <c r="Q59" i="2"/>
  <c r="F13" i="4"/>
  <c r="C160" i="1"/>
  <c r="C223" i="2" s="1"/>
  <c r="C234" i="2" s="1"/>
  <c r="C228" i="2"/>
  <c r="C12" i="7"/>
  <c r="P78" i="2"/>
  <c r="R60" i="2"/>
  <c r="S60" i="2"/>
  <c r="C162" i="2"/>
  <c r="C198" i="2"/>
  <c r="C196" i="2" s="1"/>
  <c r="C202" i="2"/>
  <c r="C199" i="2" s="1"/>
  <c r="C235" i="2"/>
  <c r="C239" i="2" s="1"/>
  <c r="C175" i="2"/>
  <c r="C242" i="2"/>
  <c r="C236" i="2"/>
  <c r="C176" i="6"/>
  <c r="C8" i="7"/>
  <c r="P74" i="2"/>
  <c r="V20" i="2"/>
  <c r="C179" i="6" l="1"/>
  <c r="C192" i="6" s="1"/>
  <c r="C15" i="5" s="1"/>
  <c r="R56" i="2"/>
  <c r="S56" i="2"/>
  <c r="Q45" i="2"/>
  <c r="F7" i="4"/>
  <c r="C169" i="2"/>
  <c r="C167" i="2" s="1"/>
  <c r="C166" i="2" s="1"/>
  <c r="C240" i="2"/>
  <c r="C173" i="2" s="1"/>
  <c r="C237" i="2"/>
  <c r="C241" i="2" s="1"/>
  <c r="C174" i="2" s="1"/>
  <c r="Q51" i="2" s="1"/>
  <c r="R59" i="2"/>
  <c r="S59" i="2"/>
  <c r="C15" i="7"/>
  <c r="W30" i="2"/>
  <c r="F11" i="4"/>
  <c r="Q62" i="2"/>
  <c r="F21" i="4"/>
  <c r="Q52" i="2"/>
  <c r="R52" i="2" s="1"/>
  <c r="Q61" i="2"/>
  <c r="F9" i="4"/>
  <c r="W20" i="2"/>
  <c r="C5" i="7"/>
  <c r="U55" i="2" l="1"/>
  <c r="P75" i="2" s="1"/>
  <c r="R62" i="2"/>
  <c r="S62" i="2"/>
  <c r="S52" i="2"/>
  <c r="T51" i="2"/>
  <c r="R51" i="2"/>
  <c r="S51" i="2"/>
  <c r="T45" i="2"/>
  <c r="S45" i="2"/>
  <c r="R45" i="2"/>
  <c r="Q50" i="2"/>
  <c r="F19" i="4"/>
  <c r="R43" i="2"/>
  <c r="U41" i="2" s="1"/>
  <c r="S43" i="2"/>
  <c r="S61" i="2"/>
  <c r="U57" i="2" s="1"/>
  <c r="P76" i="2" s="1"/>
  <c r="R61" i="2"/>
  <c r="V40" i="2" l="1"/>
  <c r="V41" i="2"/>
  <c r="P72" i="2"/>
  <c r="P80" i="2" s="1"/>
  <c r="S50" i="2"/>
  <c r="T50" i="2"/>
  <c r="R50" i="2"/>
  <c r="W40" i="2" l="1"/>
  <c r="C26" i="7" s="1"/>
  <c r="C24" i="7"/>
</calcChain>
</file>

<file path=xl/sharedStrings.xml><?xml version="1.0" encoding="utf-8"?>
<sst xmlns="http://schemas.openxmlformats.org/spreadsheetml/2006/main" count="1175" uniqueCount="573">
  <si>
    <t>OTRAS ANOTACIONES</t>
  </si>
  <si>
    <t>OTRAS ANOTACIONES ADICIONALES</t>
  </si>
  <si>
    <t>e) Normas básicas que regulan la entidad, tales como normas de conformación y funcionamiento</t>
  </si>
  <si>
    <t>f) Información sobre trámites, según lo establecido por la Ley de Simplificación de Trámites</t>
  </si>
  <si>
    <t>g) Plan anual operativo</t>
  </si>
  <si>
    <t>h) Plan o programa anual de adquisiciones que contenga la información requerida por el Reglamento a la Ley de Contratación Administrativa</t>
  </si>
  <si>
    <t>i) Informe anual de la gestión institucional, que comprenda ejecución presupuestaria y el grado de cumplimiento de metas</t>
  </si>
  <si>
    <t>j) Informes de la auditoría interna</t>
  </si>
  <si>
    <t>¿La página Web permite realizar algún trámite en línea?</t>
  </si>
  <si>
    <t>¿Se evalúa, por lo menos una vez al año, la satisfacción de los usuarios respecto al servicio que presta la institución?</t>
  </si>
  <si>
    <t>Informe del estudio más reciente</t>
  </si>
  <si>
    <t>¿La entidad ha evaluado el  cumplimiento de la Ley de igualdad de oportunidades para las personas con discapacidad, N° 7600?</t>
  </si>
  <si>
    <t>Acuerdos o acciones ejecutadas</t>
  </si>
  <si>
    <t>¿La entidad ha evaluado el cumplimiento de la Ley de simplificación de tramites, N°8220?</t>
  </si>
  <si>
    <t>RECURSOS HUMANOS</t>
  </si>
  <si>
    <t>¿Se tienen claramente definidos los procedimientos para la medición del desempeño?</t>
  </si>
  <si>
    <t>Procedimientos de medición del desempeño.</t>
  </si>
  <si>
    <t>¿Existe en la entidad un manual de inducción para los nuevos empleados?</t>
  </si>
  <si>
    <t>Manual de inducción</t>
  </si>
  <si>
    <t>¿Se cuenta con políticas u otra normativa interna para el reclutamiento, la selección y promoción del personal? (NO APLICA PARA LAS ENTIDADES SUJETAS AL SERVICIO CIVIL.)</t>
  </si>
  <si>
    <t>Normativa interna para el reclutamiento, la selección y promoción del personal</t>
  </si>
  <si>
    <t>¿En la entidad se aplica al menos una vez al año algún instrumento para medir el clima organizacional?</t>
  </si>
  <si>
    <t>Resultados de la última encuesta.</t>
  </si>
  <si>
    <t>¿Se formula y ejecuta un programa de capacitación y desarrollo del personal?</t>
  </si>
  <si>
    <t>Programa de capacitación e informe de su ejecución</t>
  </si>
  <si>
    <t>Indique el número de total metas del Plan Anual Operativo del año anterior</t>
  </si>
  <si>
    <t>Indique el total  metas realizadas totalmente durante el último año</t>
  </si>
  <si>
    <t>Considere realizadas totalmente las metas con un porcentaje de cumplimiento de 80% o más.</t>
  </si>
  <si>
    <t>Indique el total  metas realizadas parcialmente durante el último año</t>
  </si>
  <si>
    <t>Considere realizadas parcialmente las metas cuyo porcentaje de cumplimiento está entre 50% y 80%.</t>
  </si>
  <si>
    <t>Indique el total  metas NO realizadas durante el último año</t>
  </si>
  <si>
    <t>Considere no realizadas las metas con un porcentaje de cumplimineto menor al 50%.</t>
  </si>
  <si>
    <t xml:space="preserve">Indique el porcentaje del presupuesto ligada a metas del plan institucional </t>
  </si>
  <si>
    <t>Monto presupuestado para el Plan de Adquisiciones del periodo anterior</t>
  </si>
  <si>
    <t>Monto devengado del Plan de Adquisiciones del año anterior</t>
  </si>
  <si>
    <t>Egreso Devengado del periodo anterior</t>
  </si>
  <si>
    <t>Superávit Acumulado de periodos anteriores incorporado en el presupuesto</t>
  </si>
  <si>
    <t>OTROS DATOS</t>
  </si>
  <si>
    <t>Indique la nota obtenida en la última evaluación de satisfacción de los usuarios respecto al servicio que presta la institución;  si NO realizó la evaluación indíquelo con un cero (0).</t>
  </si>
  <si>
    <t>Si esa institución aplicó el "Modelo de madurez del sistema de control interno institucional", digite la nota obtenida. De lo contrario, digite: "NO APLICA"</t>
  </si>
  <si>
    <t>INFORMACION CONTABLE</t>
  </si>
  <si>
    <t>DISPONIBLES</t>
  </si>
  <si>
    <t>&lt;---Si no cuenta con información contable, seleccione "NO DISPONIBLES". Si la razón de ello es que la institución no debe preparar estados financieros de forma directa, seleccione "NO APLICA"</t>
  </si>
  <si>
    <t>Detalle</t>
  </si>
  <si>
    <t>ACTIVO TOTAL</t>
  </si>
  <si>
    <t>Activo Corriente</t>
  </si>
  <si>
    <t>Otros Activos</t>
  </si>
  <si>
    <t>Activo Fijo</t>
  </si>
  <si>
    <t>PASIVO Y PATRIMONIO</t>
  </si>
  <si>
    <t>PASIVO TOTAL</t>
  </si>
  <si>
    <t>Pasivo Corriente</t>
  </si>
  <si>
    <t xml:space="preserve">Otros Pasivos </t>
  </si>
  <si>
    <t>Pasivo a Largo Plazo</t>
  </si>
  <si>
    <t>PATRIMONIO</t>
  </si>
  <si>
    <t>OTRAS CUENTAS</t>
  </si>
  <si>
    <t>Superávit por Revaluación</t>
  </si>
  <si>
    <t>Utilidad Neta</t>
  </si>
  <si>
    <t>Sistemas de Información</t>
  </si>
  <si>
    <t>Este año marca la tercera aplicación del instrumento diseñado por la Contraloría General de la República para medir los esfuerzos de las instituciones en términos de la consolidación, el seguimiento y los resultados de las metas del plan anual, y así calcular un Índice de la Gestión Institucional correspondiente al año 2012 (IGI 2012).</t>
  </si>
  <si>
    <t>En cuanto a los datos contemplados en el punto "i" anterior, digitando los datos numéricos pertinentes, teniendo presente que no deben utilizarse puntos ni comas para los millares y que los decimales deben separarse con una coma. Con respecto a los datos requeridos en la sección de "Información contable", digite la información correspondiente a los estados financieros auditados del año 2011; si no se cuenta con ellos, es posible utilizar los estados financieros internos. La información presupuestaria requerida es la del año 2012.</t>
  </si>
  <si>
    <r>
      <t xml:space="preserve">INFORMACIÓN PRESUPUESTARIA (Año 2012)
</t>
    </r>
    <r>
      <rPr>
        <b/>
        <i/>
        <sz val="14"/>
        <color indexed="10"/>
        <rFont val="Arial"/>
        <family val="2"/>
      </rPr>
      <t>–EN COLONES–</t>
    </r>
  </si>
  <si>
    <r>
      <t xml:space="preserve">INFORMACION CONTABLE (Año 2011)
</t>
    </r>
    <r>
      <rPr>
        <b/>
        <i/>
        <sz val="14"/>
        <color indexed="10"/>
        <rFont val="Arial"/>
        <family val="2"/>
      </rPr>
      <t>–EN COLONES–</t>
    </r>
  </si>
  <si>
    <t>Para los ítems que se respondan con "Sí", se despliega un ejemplo de los documentos que la Contraloría General consideraría apropiados para corroborar que se cumple con lo que se pregunta. Tales documentos deben incorporarse en un expediente (digital, físico o mixto) que la institución deberá preparar y mantener en su poder. El expediente no debe enviarse a la Contraloría General, pero debe estar disponible para su eventual revisión por equipos de fiscalizadores del órgano contralor, en un proceso de verificación que se aplicará en una muestra de las instituciones con posterioridad a la fecha límite para el suministro de los datos.</t>
  </si>
  <si>
    <t>Disponibilidades</t>
  </si>
  <si>
    <t>Gastos Administrativos</t>
  </si>
  <si>
    <t>Utilidad Operacional Bruta</t>
  </si>
  <si>
    <t>En los temas de: Planificacion, Formulación y Aprobación; Control Interno y Ejecución y Resultados</t>
  </si>
  <si>
    <t>I. CONSOLIDACIÓN</t>
  </si>
  <si>
    <t>LISTAS</t>
  </si>
  <si>
    <t>Si/No/Noaplica</t>
  </si>
  <si>
    <t>Rango</t>
  </si>
  <si>
    <t>(INDIQUE AQUÍ EL TIPO DE INSTITUCIÓN)</t>
  </si>
  <si>
    <t>Datos Contables</t>
  </si>
  <si>
    <t>Alto</t>
  </si>
  <si>
    <t>Gobierno Central y otros Poderes</t>
  </si>
  <si>
    <t>Medio</t>
  </si>
  <si>
    <t>Sector Financiero</t>
  </si>
  <si>
    <t>NO DISPONIBLES</t>
  </si>
  <si>
    <t>Bajo</t>
  </si>
  <si>
    <t>Sector Municipal</t>
  </si>
  <si>
    <t>FÓRMULAS</t>
  </si>
  <si>
    <t>NOTA SECCION</t>
  </si>
  <si>
    <t>NOTA EJE</t>
  </si>
  <si>
    <t>NOTA IGI</t>
  </si>
  <si>
    <t># Preguntas</t>
  </si>
  <si>
    <t>i. CONSOLIDACIÓN</t>
  </si>
  <si>
    <t>Planificación</t>
  </si>
  <si>
    <t>Financiero-Contable</t>
  </si>
  <si>
    <t>Control Interno</t>
  </si>
  <si>
    <t>Contratación Administrativa</t>
  </si>
  <si>
    <t>Presupuesto</t>
  </si>
  <si>
    <t>Tecnologías de la Información</t>
  </si>
  <si>
    <t>Servicio al Usuario</t>
  </si>
  <si>
    <t>Recursos Humanos</t>
  </si>
  <si>
    <t>ii. SEGUIMIENTO</t>
  </si>
  <si>
    <t>¿Se cuenta en la institución con un mecanismo para procesar y conservar la información sobre riesgos?</t>
  </si>
  <si>
    <t>NO APLICA//INDICADOR</t>
  </si>
  <si>
    <t>iii: RESULTADOS</t>
  </si>
  <si>
    <t>Preguntas Si/No</t>
  </si>
  <si>
    <t>Pregunta Alto/Medio/Bajo</t>
  </si>
  <si>
    <t>Cumplimiento de metas del plan</t>
  </si>
  <si>
    <t>Ejecución presupuestal</t>
  </si>
  <si>
    <t xml:space="preserve">Liquidez de la institución </t>
  </si>
  <si>
    <t>VARIACION IPC=P (2010)</t>
  </si>
  <si>
    <t>Eficiencia en el uso de los activos</t>
  </si>
  <si>
    <t>Proporción de los Activos productivos ajustados dentro de los Activos Totales ajustados</t>
  </si>
  <si>
    <t>Activos financiados por deuda</t>
  </si>
  <si>
    <t>Indicador</t>
  </si>
  <si>
    <t xml:space="preserve">Porcentaje de Egresos Devengados </t>
  </si>
  <si>
    <t>Impacto de obligaciones del período anterior</t>
  </si>
  <si>
    <t>Porcentaje de recaudación</t>
  </si>
  <si>
    <t>Porcentaje de Ingresos Percibidos en el período</t>
  </si>
  <si>
    <t>Porcentaje Gastos Administrativos</t>
  </si>
  <si>
    <t>b. Disponga de un mecanismo para medir el impacto de TI en los objetivos estratégicos de la institución</t>
  </si>
  <si>
    <t>Nota Final x sub-eje</t>
  </si>
  <si>
    <t>a. Seguridad interna</t>
  </si>
  <si>
    <t>b. Antivirus actualizado</t>
  </si>
  <si>
    <t>c. Cifrado en la página web</t>
  </si>
  <si>
    <t>¿Existen  mecanismos para  medir la gestión de la Contraloría de Servicios?</t>
  </si>
  <si>
    <t>Normativa a fin</t>
  </si>
  <si>
    <t>Mostrar procedimientos</t>
  </si>
  <si>
    <t xml:space="preserve">II SEGUIMIENTO </t>
  </si>
  <si>
    <t>FINANCIERA-CONTABLE</t>
  </si>
  <si>
    <t>¿Se capacita al personal en materia de normas de contabilidad (NIIF, NIC, normativa de CONASSIF) u otras regulaciones pertinentes?</t>
  </si>
  <si>
    <t>¿Se formuló un plan de mejoras con base en los resultados de la autoevaluacióndel sistema de control interno ejecutada el año anterior?</t>
  </si>
  <si>
    <t xml:space="preserve">¿Se discuten y valoran los resultados de los informes de ejecución presupuestaria con el jerarca? </t>
  </si>
  <si>
    <t>¿Se mide, por lo menos una vez al año, la satisfacción de los usuarios respecto al servicio que presta la institución?</t>
  </si>
  <si>
    <t>(Si la entidad no prepara estados financieros de forma directa, puede responder con NO APLICA las preguntas de esta sección.)</t>
  </si>
  <si>
    <t>El diseño y la implementación de la infraestuctura tecnológica de seguridad de información y de los procesos de administración y operación asociados a ella, están sustentados en un documento vinculado al Plan Estratégico de TI, que identifique al menos de manera general lo siguiente:</t>
  </si>
  <si>
    <t>a. Requerimientos de seguridad</t>
  </si>
  <si>
    <t>b. Amenazas</t>
  </si>
  <si>
    <t>c. Marco legal y regulatorio relacionado con seguridad de la información, que la entidad debe cumplir.</t>
  </si>
  <si>
    <t>Documento respectivo, con indicación de la página atinente</t>
  </si>
  <si>
    <t>Indicadores para análisis</t>
  </si>
  <si>
    <t>VARIACION IPC=P (2011)</t>
  </si>
  <si>
    <t>Remita los archivos de la certificación y el cuestionario a la dirección electrónica secretaria.tecnica@cgr.go.cr, a más tardar el viernes 15 de febrero de 2013. Por favor, no remita copias impresas de la certificación ni del cuestionario; la remisión de los archivos solicitados se tendrá como comunicación oficial-</t>
  </si>
  <si>
    <t>¿La institución cuenta con un plan estratégico o similar vigente?</t>
  </si>
  <si>
    <t>¿Se tiene implementado un sistema de información financiera integrado y automatizado, que permita la realización del proceso contable y la obtención de la información financiera?</t>
  </si>
  <si>
    <t>¿Se capacitó en los últimos tres años al personal en materia de normas de contabilidad (NIIF, NIC, NICSP, normativa de CONASSIF) u otras regulaciones pertinentes?</t>
  </si>
  <si>
    <t>¿Se cuenta con una documentación oficializada y actualizada de los principales procesos que se ejecutan en la institución?</t>
  </si>
  <si>
    <t>¿Se  cuenta con un manual de puestos o similar, debidamente oficializado y actualizado, que identifique las responsabilidades de los funcionarios, así como las líneas de autoridad y reporte correspondientes?</t>
  </si>
  <si>
    <t>¿Se evaluó en el periodo anterior por lo menos al 95% de los funcionarios?</t>
  </si>
  <si>
    <t>¿Se cuenta con un programa de capacitación en materia de contratación administrativa?</t>
  </si>
  <si>
    <t>c. Incluya fuentes de financiamiento, estrategias de adquisiciones y un presupuesto que esté vinculado con el presupuesto institucional que se presenta ante la Contraloría General de la República</t>
  </si>
  <si>
    <t>i) Informe anual de la gestión institucional, que comprenda la ejecución presupuestaria y el grado de cumplimiento de metas</t>
  </si>
  <si>
    <t>Puntaje global del IGI</t>
  </si>
  <si>
    <t>¿La entidad ha medido el  cumplimiento de la Ley de igualdad de oportunidades para las personas con discapacidad, N° 7600?</t>
  </si>
  <si>
    <t>¿La entidad ha medido el cumplimiento de la Ley de simplificación de tramites, N°8220?</t>
  </si>
  <si>
    <t>¿Se formula y ejecuta un programa de capacitación y desarrollo de competencias del personal?</t>
  </si>
  <si>
    <t xml:space="preserve">III RESULTADOS </t>
  </si>
  <si>
    <t>¿En el período del 1° de enero al 31 de diciembre de 2010, la relación del monto total de los recursos de variaciones presupuestales entre el gasto total aprobado fue inferior a 5%? (NO APLICA EN GOBIERNO CENTRAL)</t>
  </si>
  <si>
    <t>&lt;- Ver Indicador</t>
  </si>
  <si>
    <t>Total Presupuesto Definitivo del año anterior</t>
  </si>
  <si>
    <t>Suma de variaciones positivas en el gasto (modificaciones y presupuestos extraordinarios)</t>
  </si>
  <si>
    <t>Total Presupuesto Ejecutado del año anterior</t>
  </si>
  <si>
    <t>Total presupuesto inicial del año anterior</t>
  </si>
  <si>
    <t>¿Existe una adecuada relación entre los recursos ejecutados en el presupuesto y las metas alcanzadas por la institución?</t>
  </si>
  <si>
    <t>Informe respectivo</t>
  </si>
  <si>
    <t>Valor del indicador</t>
  </si>
  <si>
    <t>FINANCIERO-CONTABLE (SE OBTIENEN AL INGRESAR LOS DATOS A LA HOJA "CONTABLE")</t>
  </si>
  <si>
    <t>Liquidez de la institución</t>
  </si>
  <si>
    <t>CONTROL INTERNO</t>
  </si>
  <si>
    <t>Si esa institución aplicó el "Modelo de madurez del sistema de control interno institucional", digite la nota obtenida. De lo contrario, digite "NO APLICA"</t>
  </si>
  <si>
    <t>&lt;---Digite la Nota obtenida en la celda C186</t>
  </si>
  <si>
    <t>CONTRATACION ADMINISTRATIVA</t>
  </si>
  <si>
    <t xml:space="preserve">Monto presupuestado para el Plan de Adquisiciones del periodo anterior </t>
  </si>
  <si>
    <t>Porcentaje de Egresos Devengados</t>
  </si>
  <si>
    <t>Egreso Pagado del periodo anterior</t>
  </si>
  <si>
    <t>Ingresos Percibidos del año anterior</t>
  </si>
  <si>
    <t>Porcentaje de Ingresos Percibidos ajustado en el año anterior</t>
  </si>
  <si>
    <t>Ingreso Efectivo del año anterior</t>
  </si>
  <si>
    <t>Indique la nota obtenida en la última evalución de satisfacción de los usuarios respecto al servicio que presta la institución</t>
  </si>
  <si>
    <t>&lt;---Digite la Nota obtenida en la celda C213</t>
  </si>
  <si>
    <t>Proporción de Gastos Administrativos</t>
  </si>
  <si>
    <t>Calificacion de "Gtmetrics"</t>
  </si>
  <si>
    <t>&lt;--Digite la Nota "Page Speed Grade" en la celda C221</t>
  </si>
  <si>
    <t>http://gtmetrix.com/</t>
  </si>
  <si>
    <r>
      <t>Descargar y adjuntar el reporte regular "</t>
    </r>
    <r>
      <rPr>
        <i/>
        <sz val="11"/>
        <rFont val="Calibri"/>
        <family val="2"/>
      </rPr>
      <t xml:space="preserve">Regular Report" </t>
    </r>
    <r>
      <rPr>
        <sz val="11"/>
        <rFont val="Calibri"/>
        <family val="2"/>
      </rPr>
      <t>de la página</t>
    </r>
  </si>
  <si>
    <t>Año</t>
  </si>
  <si>
    <t>Prueba A=P+K</t>
  </si>
  <si>
    <t>Activo Total Ajustado</t>
  </si>
  <si>
    <t>Activo Productivo</t>
  </si>
  <si>
    <t>Activo Productivo Ajustado</t>
  </si>
  <si>
    <t>Relación Activo Ajustado / Activo</t>
  </si>
  <si>
    <t>Eficiencia (AP/AT)</t>
  </si>
  <si>
    <t>Eficiencia (AP Ajustado/AT Ajustado)</t>
  </si>
  <si>
    <t>Financiamiento con recursos propios (P/AT)</t>
  </si>
  <si>
    <t>Liquidez</t>
  </si>
  <si>
    <t>Objetivo</t>
  </si>
  <si>
    <t>Fórmula</t>
  </si>
  <si>
    <t>Interpretación</t>
  </si>
  <si>
    <t>Valor Ideal</t>
  </si>
  <si>
    <t>Cuantificar la eficacia en la ejecución de las metas programadas</t>
  </si>
  <si>
    <t>(Total  metas realizadas / Total metas del Plan)*100</t>
  </si>
  <si>
    <t>A mayor valor del indicador se puede inferir una mayor eficacia en el cumplimiento de metas.</t>
  </si>
  <si>
    <t>Rango: 0 a 100 %    Valor ideal: 100%</t>
  </si>
  <si>
    <t>Cuantificar el porcentaje de ejecución presupuestaria</t>
  </si>
  <si>
    <t>(Total presupuesto ejecutado / Total presupuesto definitivo)*100</t>
  </si>
  <si>
    <t>A mayor valor del indicador se puede inferir una mayor eficacia en la ejecución presupuestaria.</t>
  </si>
  <si>
    <t>Rango: 0 % a 100 % Valor ideal: 100%</t>
  </si>
  <si>
    <t>Determinar el nivel de recaudación de ingresos</t>
  </si>
  <si>
    <t>(Ingresos percibidos / Presupuesto Definitivo)*100</t>
  </si>
  <si>
    <t>A mayor valor del indicador, se tendrá una mejor nivel de recaudación</t>
  </si>
  <si>
    <t>Determinar el grado de ingresos percibidos en el período</t>
  </si>
  <si>
    <t>(Ingreso Efectivo - Superávit Acumulado) / (Ingreso Definitivo - Superávit Acumulado)</t>
  </si>
  <si>
    <t>Amayor valor del indicador, se tendrá un mejor nivel de ingresos percibidos en el período</t>
  </si>
  <si>
    <t>Determinar el porcentaje de egresos devengados</t>
  </si>
  <si>
    <t>Egresos Devengado / Presupuesto Definitivo) * 100</t>
  </si>
  <si>
    <t>Determinar el efecto de las obligaciones pendientes del periodo anterior en los egresos actuales</t>
  </si>
  <si>
    <t>(Egreso Devengado(t-1)- Egreso Pagado(t-1)) / Presupuesto inicial(t)</t>
  </si>
  <si>
    <t>A mayor valor del indicador, mayor es el efecto de las obligaciones pendientes del periodo anterior</t>
  </si>
  <si>
    <t>Rango: 0 % a 100 % Valor ideal: 0%</t>
  </si>
  <si>
    <t>Determinar la capacidad de la institución de cubrir sus pasivos a corto plazo.</t>
  </si>
  <si>
    <t>(Activo Corriente  / Pasivo Corriente)</t>
  </si>
  <si>
    <t>Una relación mayor o igual que uno es favorable</t>
  </si>
  <si>
    <t>Rango: 0 a N                Valor ideal: 1 ≤ indicador ≤ 2</t>
  </si>
  <si>
    <t>Determinar la distribución de los Activos entre Productivos e Improductivos</t>
  </si>
  <si>
    <t>Activo Productivo  / Activos Totales  * 100</t>
  </si>
  <si>
    <t>A mayor valor del indicador se puede inferir una mayor eficiencia en el uso de los activos totales</t>
  </si>
  <si>
    <t xml:space="preserve">Medir la porción de activos financiados por deuda. </t>
  </si>
  <si>
    <t>Pasivo total  / Activo total  * 100</t>
  </si>
  <si>
    <t>A mayor valor del indicador se puede inferir una mayor proporción de los activos financiados con deuda</t>
  </si>
  <si>
    <t>Rango: 0 % a 100 %</t>
  </si>
  <si>
    <t>Porcentaje de Gastos Administrativos</t>
  </si>
  <si>
    <t>Determinar la eficiencia de la distribución del gasto en diversos aspectos</t>
  </si>
  <si>
    <t xml:space="preserve">GA institucionales / Utilidad Operacional Bruta                                   GA= “Gastos Administrativos” </t>
  </si>
  <si>
    <t>A mayor valor del indicador mayor es el gasto administrativo en relación con las utilidades.</t>
  </si>
  <si>
    <t>Rango: Q   Valor Ideal: Menor o igual a                          5% / (P/8+5%)</t>
  </si>
  <si>
    <t>Respuestas SI</t>
  </si>
  <si>
    <t>Respuestas NO</t>
  </si>
  <si>
    <t>Respuestas NA</t>
  </si>
  <si>
    <t>Nota PLANIFICACIÓN</t>
  </si>
  <si>
    <t>Nota FINANCIERO CONTABLE</t>
  </si>
  <si>
    <t>Nota CONTROL INTERNO INSTITUCIONAL</t>
  </si>
  <si>
    <t>Nota CONTRATACIÓN ADMINISTRATIVA</t>
  </si>
  <si>
    <t>Nota PRESUPUESTO</t>
  </si>
  <si>
    <t>Nota TECNOLOGÍAS DE LA INFORMACIÓN</t>
  </si>
  <si>
    <t>Nota SERVICIO AL USUARIO</t>
  </si>
  <si>
    <t>Nota RECURSOS HUMANOS</t>
  </si>
  <si>
    <t>N°</t>
  </si>
  <si>
    <t>Pregunta</t>
  </si>
  <si>
    <t>Sector</t>
  </si>
  <si>
    <t>Sector PND</t>
  </si>
  <si>
    <t>Respuestas SI - Acumulado</t>
  </si>
  <si>
    <t>Respuestas NO - Acumulado</t>
  </si>
  <si>
    <t>Respuestas NA - Acumulado</t>
  </si>
  <si>
    <t>NOTA FINAL</t>
  </si>
  <si>
    <t>DETALLE DE RESULTADOS</t>
  </si>
  <si>
    <t xml:space="preserve">Eficacia en la ejecución del presupuesto del  Plan de Adquisiciones del periodo anterior </t>
  </si>
  <si>
    <t>Determinar la eficacia en la ejecución del presupuesto del  Plan de Adquisiciones del periodo anterior</t>
  </si>
  <si>
    <t>Monto devengado del Plan de Adquisiciones del año anterior /  Monto presupuestado para el Plan de Adquisiciones del periodo anterior</t>
  </si>
  <si>
    <t>A mayor valor del indicador mayor es la eficacia en la ejecución.</t>
  </si>
  <si>
    <t>Rango: Q     Valor ideal: 1      Restricción: Indicador ± 10 p.p.</t>
  </si>
  <si>
    <t>INDICE DE GESTIÓN INSTITUCIONAL DEL SECTOR PÚBLICO 2012</t>
  </si>
  <si>
    <t>PRESENTACIÓN</t>
  </si>
  <si>
    <t>1.</t>
  </si>
  <si>
    <t>Gestión financiero-contable</t>
  </si>
  <si>
    <t>3.</t>
  </si>
  <si>
    <t>a.</t>
  </si>
  <si>
    <t>b.</t>
  </si>
  <si>
    <t>c.</t>
  </si>
  <si>
    <t>Control interno institucional (subdividido en los cinco componentes funcionales del sistema)</t>
  </si>
  <si>
    <t>d.</t>
  </si>
  <si>
    <t>Contratación administrativa</t>
  </si>
  <si>
    <t>e.</t>
  </si>
  <si>
    <t>f.</t>
  </si>
  <si>
    <t>Tecnologías de la información</t>
  </si>
  <si>
    <t>g.</t>
  </si>
  <si>
    <t>Servicio al usuario</t>
  </si>
  <si>
    <t>h.</t>
  </si>
  <si>
    <t>Recursos humanos</t>
  </si>
  <si>
    <t>i.</t>
  </si>
  <si>
    <t>Información presupuestaria, contable y de otra naturaleza (cuando corresponda)</t>
  </si>
  <si>
    <t>En la mayoría de las preguntas, seleccionando las respuestas "Sí" o "No".</t>
  </si>
  <si>
    <t>En algunas preguntas, seleccionando las respuestas "Sí", "No" o "No aplica", teniendo presente que la respuesta "No aplica" sólo estará disponible para casos específicos y según el tipo de institución. Si durante el proceso de llenado se determina que tal respuesta se requiere en una pregunta que no la tiene habilitada, puede solicitarse su activación escribiendo al correo secretaria.tecnica@cgr.go.cr o llamando al teléfono 2501-8023.</t>
  </si>
  <si>
    <t>Al responder las preguntas, se obtendrán dos resultados:</t>
  </si>
  <si>
    <t>El instrumento se compone de dos partes, a saber: el presente cuestionario en Microsoft Excel y una plantilla de certificación en Microsoft Word para comunicar los resultados de la aplicación del cuestionario.</t>
  </si>
  <si>
    <t>A continuación se explica la mecánica del instrumento.</t>
  </si>
  <si>
    <t>El cuestionario se encuentra organizado con base en nueve temáticas, a saber:</t>
  </si>
  <si>
    <t>Cada sección contiene un número determinado de preguntas que pueden responderse de las tres diferentes maneras que se explican seguidamente:</t>
  </si>
  <si>
    <t>Un puntaje que se asocia con el grado de cumplimiento de las situaciones mencionadas en las preguntas. Las fórmulas que contiene el archivo permiten contemplar el efecto respecto de las cuales se indique que no son aplicables en la institución. Los puntajes se presentan en la hoja de este archivo que se denomina "Resultados". Asimismo, el archivo contempla una hoja denominada "Indicadores", que permite realizar un análisis básico de los indicadores utilizados en el cálculo del IGI.</t>
  </si>
  <si>
    <t>(IGI - 2012)</t>
  </si>
  <si>
    <t>Con respecto al cuestionario</t>
  </si>
  <si>
    <t>2.</t>
  </si>
  <si>
    <t>Con respecto a la plantilla de certificación</t>
  </si>
  <si>
    <t>La plantilla en Microsoft Word constituye un oficio básico con la información mínima que las instituciones deben enviar a la Contraloría General después de haber llenado el cuestionario. Tal archivo puede ser modificado según la institución lo considere necesario.</t>
  </si>
  <si>
    <t>INSTRUCCIONES</t>
  </si>
  <si>
    <t>Trabaje exclusivamente en la hoja denominada "Para-responder".</t>
  </si>
  <si>
    <t>Digite en el cuestionario el nombre de la institución, en el espacio previsto para tal fin.</t>
  </si>
  <si>
    <t>Indique el tipo de institución, seleccionando la opción que corresponda.</t>
  </si>
  <si>
    <t>4.</t>
  </si>
  <si>
    <t>5.</t>
  </si>
  <si>
    <t>Conteste cada una de las preguntas que contiene el cuestionario, y salve el archivo. Observe lo siguiente:</t>
  </si>
  <si>
    <t>La mayor parte de las preguntas puede contestarse con "Sí" o "No", y en algunos casos con "No aplica".</t>
  </si>
  <si>
    <t xml:space="preserve">Si considera que alguna pregunta no es aplicable a la institución, pero la opción respectiva no está disponible, comuníquese con la Secretaría Técnica al correo electrónico secretaria.tecnica@cgr.go.cr o al teléfono 2501-8023. </t>
  </si>
  <si>
    <t>En la columna "Observaciones" puede complementar aquellas respuestas para las cuales estime pertinente aportar datos adicionales.</t>
  </si>
  <si>
    <t>Anote al final del cuestionario, en los espacios previstos, los datos correspondientes a quien completó el cuestionario y a quien lo aprobó, así como las fechas de conclusión del proceso de llenado y de la aprobación.</t>
  </si>
  <si>
    <t>6.</t>
  </si>
  <si>
    <t>Prepare la certificación de los resultados obtenidos, utilizando los datos que aprecen al final del cuestionario.</t>
  </si>
  <si>
    <t>7.</t>
  </si>
  <si>
    <t>Con base en la información que aparecerá en la columna "Documentación" de la hoja "Para-responder", prepare el expediente físico, digital o mixto que sustente las respuestas. No envíe el expediente a la Contraloría General; manténgalo disponible en su institución, en previsión de que la Contraloría General podría incluirla en la muestra de entidades cuyos expedietes se verificarán.</t>
  </si>
  <si>
    <t>¡Muchas gracias por su participación!</t>
  </si>
  <si>
    <t>¿Se evaluó en el periodo anterior por lo menos al 90% de los funcionarios?</t>
  </si>
  <si>
    <t>A. Seguridad interna (Claves de acceso)</t>
  </si>
  <si>
    <t>Las TI utilizadas cuentan con las siguientes medidas para evitar las amenazas que conlleva su uso para garantizarle al usuario su confidencialidad e integridad de la información:</t>
  </si>
  <si>
    <t>&lt;---Digite la nota obtenida</t>
  </si>
  <si>
    <t>&lt;---Digite la nota obtenida o "NO APLICA", según corresponda</t>
  </si>
  <si>
    <t>Índice de Gestión Institucional del Sector Público</t>
  </si>
  <si>
    <t>Nombre de la entidad:</t>
  </si>
  <si>
    <t>Indique el tipo de institución por sector económico:</t>
  </si>
  <si>
    <t>Sector No Financiero</t>
  </si>
  <si>
    <t>CRITERIO</t>
  </si>
  <si>
    <t>RESPUESTA</t>
  </si>
  <si>
    <t>DOCUMENTOS</t>
  </si>
  <si>
    <t>OBSERVACIONES</t>
  </si>
  <si>
    <t>PLANIFICACIÓN</t>
  </si>
  <si>
    <t>Documentación</t>
  </si>
  <si>
    <t xml:space="preserve"> ¿Se dispone en la institución de una declaración de misión, visión y valores formalmente promulgada por el jerarca?</t>
  </si>
  <si>
    <t>SI</t>
  </si>
  <si>
    <t>Declaración de misión, visión y valores institucionales</t>
  </si>
  <si>
    <t>¿La institución cuenta con un plan estratégico o similar vigente y actualizado en los últimos años?</t>
  </si>
  <si>
    <t>Plan estratégico vigente</t>
  </si>
  <si>
    <t>¿La institución cuenta con un plan anual vigente?</t>
  </si>
  <si>
    <t>Plan anual  vigente</t>
  </si>
  <si>
    <t xml:space="preserve">¿En el plan anual se incorporan acciones que están vinculadas con el Plan Nacional de Desarrollo? </t>
  </si>
  <si>
    <t>Matriz Anual de Programación Institucional (MAPI)</t>
  </si>
  <si>
    <t>¿El plan anual  contiene indicadores que midan el cumplimiento de las metas establecidas?</t>
  </si>
  <si>
    <t>Catálogo de Indicadores de gestión vigente</t>
  </si>
  <si>
    <t xml:space="preserve">¿Participan las diferentes unidades organizacionales en la elaboración del plan estratégico o similar? </t>
  </si>
  <si>
    <t>Memorado o comunicados respectivos</t>
  </si>
  <si>
    <t>¿Los encargados de la elaboración del Plan Anual Operativo han recibido capacitación sobre planificación en los últimos tres años?</t>
  </si>
  <si>
    <t>Comprobante de capacitación o de asistencia a la misma</t>
  </si>
  <si>
    <t>FINANCIERO-CONTABLE</t>
  </si>
  <si>
    <t>¿Se ha adoptado un marco técnico contable acorde con normas internacionales de contabilidad u otras regulaciones pertinente (NICSP, NIIF, normas de CONASSIF)?</t>
  </si>
  <si>
    <t>Acuerdo o acto de adopción por parte del órgano directivo o jerarca según corresponda</t>
  </si>
  <si>
    <t xml:space="preserve">¿Se cuenta con un plan contable formalmente aprobado por las autoridades institucionales pertinentes que contenga: </t>
  </si>
  <si>
    <t>a) Catálogo de cuentas</t>
  </si>
  <si>
    <t>Plan contable</t>
  </si>
  <si>
    <t>b) Manual descriptivo de cuentas</t>
  </si>
  <si>
    <t>c) Politicas contables</t>
  </si>
  <si>
    <t>d) Estructura de los estados financieros</t>
  </si>
  <si>
    <t>¿Existe un manual de procedimientos vigente y oficializado para orientar e instruir al funcionario en la preparación de la contabilidad financiera?</t>
  </si>
  <si>
    <t>¿El plan anual  contiene indicadores que midan el cumplimiento de las metas establecidas? (No aplica si la respuesta a la pregunta 3 fue negativa)</t>
  </si>
  <si>
    <t>¿Participan las diferentes unidades organizacionales en la elaboración del plan estratégico o similar? (No aplica si la respuesta a la pregunta 2 fue negativa)</t>
  </si>
  <si>
    <t>¿Se formuló  e implementó un plan de mejoras con base en los resultados de la autoevaluacióndel sistema de control interno ejecutada el año anterior? (La respuesta solo podrá ser NO APLICA si la presunta 35 se contestó negativamente)</t>
  </si>
  <si>
    <t>¿En el plan anual se incorporan acciones que están vinculadas con el Plan Nacional de Desarrollo (PND)? (Sólo aplica para las instituciones contempladas en el PND que hayan sido respondido afirmativamente la pregunta 3)</t>
  </si>
  <si>
    <t>¿Existe una auditoría interna en la institución? (Sólo pueden contestar NO APLICA las instituciones de menor tamaño y las que, sin ser de menor tamaño, hayan recibido autorización de la Contraloría General para no contar con auditoría interna.)</t>
  </si>
  <si>
    <t>¿Existen regulaciones formales para la administración de los activos que la entidad posee o utiliza? (Incluye activos arrendados, prestados o en otra condición, que la institución utiliza aunque no le pertenecen.)</t>
  </si>
  <si>
    <t>¿La institución cumple oportunamente las disposiciones que contienen los informes emitidos por la Contraloría General de la República? (Para contestar esta pregunta solicite a la Auditoría Interna, cuando corresponda, el informe sobre seguimiento de disposiciones que le remite la Contraloría General de la República. Sólo podrá contestar NO APLICA si la entidad no ha sido objeto de informes de fiscalización de la Contraloría General.)</t>
  </si>
  <si>
    <t>(Las preguntas de esta sección no aplican a las entidades que realizan sus contrataciones por medio de la proveeduría de una institución de mayor nivel.)</t>
  </si>
  <si>
    <t>En relación con el visado de gastos: (Sólo aplica para el Gobierno Central.)</t>
  </si>
  <si>
    <t>¿La información presupuestaria se digita oportunamente en el Sistema de Información sobre Planes y Presupuestos Públicos (SIPP)? (No aplica para el Gobierno Central.)</t>
  </si>
  <si>
    <t>¿La liquidación presupuestaria y el informe de evaluación de resultados del año anterior se incorpora en el Sistema de Información de Planes y Presupuestos Públicos (SIPP) a más tardar el 16 de febrero, según lo señalado en la Ley Orgánica de la Contraloría General de la República y normativa atinente?  (No aplica para el Gobierno Central.)</t>
  </si>
  <si>
    <t>¿Existen  mecanismos para  evaluar la gestión de la Contraloría de Servicios? (Sólo puede contesar NO APLICA cuando la respuesta a la pregunta anterior haya sido negativa.)</t>
  </si>
  <si>
    <t>¿Se cuenta con una página Web institucional actualizada al menos en el último mes?</t>
  </si>
  <si>
    <t>¿La página Web muestra la siguiente información?:</t>
  </si>
  <si>
    <t>d) Estados financieros (Puede contestar NO APLICA si la institución no elabora estados financieros de manera directa.)</t>
  </si>
  <si>
    <t>h) Plan o programa anual de adquisiciones que contenga la información requerida por el Reglamento a la Ley de Contratación Administrativa (Sólo puede contestar NO APLICA si la institución no está sujeta al reglamento mencionado.)</t>
  </si>
  <si>
    <t>j) Informes de la auditoría interna (Sólo puede contestar NO APLICA si la institución no cuenta con una auditoría interna.)</t>
  </si>
  <si>
    <t>¿La entidad ha evaluado el  cumplimiento de la Ley de Igualdad de Oportunidades para las Personas con Discapacidad, N° 7600?</t>
  </si>
  <si>
    <t>¿La entidad ha evaluado el cumplimiento de la Ley de Simplificación de Trámites, N°8220?</t>
  </si>
  <si>
    <t>¿Se cuenta con políticas u otra normativa interna para el reclutamiento, la selección y promoción del personal? (No aplica a las entidades sujetas al Servicio Civil.)</t>
  </si>
  <si>
    <t>Este valor debe ser igual al dato indicado para "Total Presupuesto Ejecutado del año anterior"; el sistema lo copiará automáticamente.</t>
  </si>
  <si>
    <t>Este valor debe ser igual al dato indicado para "Ingresos Percibidos del año anterior"; el sistema lo copiará automáticamente.</t>
  </si>
  <si>
    <t>Manual de procedimientos vigente</t>
  </si>
  <si>
    <t>¿Se dispone de libros contables (Diario, Mayor, Inventario y Balances) actualizados para el registro y control de las operaciones o transacciones financieras?</t>
  </si>
  <si>
    <t>Libros de contabilidad o la autorización para el uso de los registros electrónicos correspondientes y sus anotaciones</t>
  </si>
  <si>
    <t>¿Se tiene implementado un sistema de información financiera integrado y automatizado, que permita la realización del proceso contable y la obtención de la información financiera en forma segura y oportuna?</t>
  </si>
  <si>
    <t xml:space="preserve"> Manual de usuario o similar</t>
  </si>
  <si>
    <t>¿Se capacita al personal en materia de normas de contabilidad (NIIF, NIC, NICSP, normativa de CONASSIF) u otras regulaciones pertinentes?</t>
  </si>
  <si>
    <t>¿Los estados financieros anuales fueron aprobados por la máxima autoridad institucional?</t>
  </si>
  <si>
    <t>Estados financieros aprobados</t>
  </si>
  <si>
    <t>¿La Administración realiza análisis periódicos de la situación financiera institucional, con base en la información contenida en los estados financieros (vertical, horizontal y de razones)?</t>
  </si>
  <si>
    <t>Documento contentivo del análisis.</t>
  </si>
  <si>
    <t>¿Los encargados de coordinar la elaboración del plan anual operativo han recibido capacitación sobre planificación en los últimos tres años?</t>
  </si>
  <si>
    <t>¿Los estados financieros son dictaminados anualmente por un auditor externo o firma de auditores independientes?</t>
  </si>
  <si>
    <t>Estados Financieros auditados del periodo anterior</t>
  </si>
  <si>
    <t>CONTROL INTERNO INSTITUCIONAL</t>
  </si>
  <si>
    <t>Ambiente de Control</t>
  </si>
  <si>
    <t>¿Existe una auditoría interna en la institución?</t>
  </si>
  <si>
    <t>Reglamento de organización y funcionamiento de la auditoría interna, o en su defecto Reglamento orgánico de la institución</t>
  </si>
  <si>
    <t>¿Se ha promulgado o adoptado un código de ética o similar?</t>
  </si>
  <si>
    <t>Código de ética o similar emitido por el jerarca</t>
  </si>
  <si>
    <t>¿Se cuenta con mecanismos para reconocer, prevenir y tratar situaciones eventualmente contrarias a la ética?</t>
  </si>
  <si>
    <t>Documentación de los mecanismos</t>
  </si>
  <si>
    <t>¿La estructura institucional (organigrama) está formalmente definida y documentada?</t>
  </si>
  <si>
    <t>Organigrama y reglamento orgánico actualizados</t>
  </si>
  <si>
    <t>¿Se ha preparado, oficializado y actualizado en los últimos cinco años una documentación de los principales procesos que se ejecutan en la institución?</t>
  </si>
  <si>
    <t>Manual de procesos u otra documentación atinente, emitido por la máxima autoridad</t>
  </si>
  <si>
    <t>¿Se ha preparado, oficializado y actualizado en los últimos cinco años un manual de puestos o similar que identifique las responsabilidades de los funcionarios, así como las líneas de autoridad y reporte correspondientes?</t>
  </si>
  <si>
    <t>Manual de puestos</t>
  </si>
  <si>
    <t>¿En los últimos cinco años, la institución se ha sometido a una auditoría de la ética institucional, ya sea por parte de la propia administración, de la auditoría interna o de un sujeto externo?</t>
  </si>
  <si>
    <t>NO</t>
  </si>
  <si>
    <t>Informe de la auditoría de la ética realizada</t>
  </si>
  <si>
    <t>¿Se evaluó en el periodo anterior al 100% de los funcionarios?</t>
  </si>
  <si>
    <t>Registros oficiales del porcentaje del personal evaluado en el año anterior</t>
  </si>
  <si>
    <t>Valoración del Riesgo</t>
  </si>
  <si>
    <t>¿La institución ha definido y oficializado el marco orientador del Sistema Específico de Valoración del Riesgo (SEVRI)?</t>
  </si>
  <si>
    <t>Marco orientador del SEVRI emitido por el jerarca</t>
  </si>
  <si>
    <t>¿Se cuenta en la institución con un mecanismo para procesar y comunicar la información sobre riesgos?</t>
  </si>
  <si>
    <t>Documentación del mecanismo</t>
  </si>
  <si>
    <t>¿Durante el año anterior o el actual la institución ejecutó un ejercicio de valoración de los riesgos que concluyera con la documentación y comunicación de esos riesgos, así como con la adopción de las medidas de administración procedentes?</t>
  </si>
  <si>
    <t>Documentación de riesgos elaborada en el año 2009 ó 2010</t>
  </si>
  <si>
    <t>Actividades de Control</t>
  </si>
  <si>
    <t>¿Existen regulaciones formales para la administración de los activos que la entidad posee o utiliza?</t>
  </si>
  <si>
    <t>Regulaciones atinentes</t>
  </si>
  <si>
    <t>¿Existe normativa institucional sobre el traslado de recursos a sujetos privados o a fideicomisos, según corresponda?</t>
  </si>
  <si>
    <t>Normativa institucional sobre traslado de recursos a sujetos privados o fedeicomisos, según corresponda</t>
  </si>
  <si>
    <t>¿Existe una normativa institucional sobre la rendición de cauciones por parte de los funcionarios que correspondan?</t>
  </si>
  <si>
    <t>Normativa institucional sobre rendición de cauciones</t>
  </si>
  <si>
    <t>¿Existe una normativa institucional sobre la presentación de informes de fin de gestión por parte de los funcionarios que corresponda según la normativa de la CGR?</t>
  </si>
  <si>
    <t>Normativa institucional sobre informes de fin de gestión</t>
  </si>
  <si>
    <t>Sistemas de Informarción</t>
  </si>
  <si>
    <t>¿Se cuenta con un plan estratégico de tecnologías de información?</t>
  </si>
  <si>
    <t>Plan estratégico de tecnologías de información</t>
  </si>
  <si>
    <t>¿Existen en la institución funcionarios formalmente designados para que, como parte de sus labores, asesoren y apoyen al jerarca en la toma de decisiones estratégicas en relación con el uso y el mantenimiento de tecnologías de información?</t>
  </si>
  <si>
    <t>Acuerdo de designación u otra documentación probatoria</t>
  </si>
  <si>
    <t>¿Se han oficializado mecanismos para garantizar la seguridad y la calidad de la información, sea física o electrónica?</t>
  </si>
  <si>
    <t>Políticas de control de información u otra normativa atinente</t>
  </si>
  <si>
    <t>Seguimiento del Sistema de Control Interno</t>
  </si>
  <si>
    <t>¿Durante el año anterior la institución realizó una autoevaluación del sistema de control interno?</t>
  </si>
  <si>
    <t>Informe de la autoevaluación realizada en el año 2011 u otra documentación probatoria del ejercicio</t>
  </si>
  <si>
    <t>¿Se formuló  e implementó un plan de mejoras con base en los resultados de la autoevaluacióndel sistema de control interno ejecutada el año anterior?</t>
  </si>
  <si>
    <t>Plan de mejoras resultante de la autoevaluación realizada en el año 2011 u otra documentación probatoria</t>
  </si>
  <si>
    <t>¿La institución cumple oportunamente las disposiciones que contienen los informes emitidos por la Contraloría General de la República?</t>
  </si>
  <si>
    <t>Informe del estado de las disposiciones</t>
  </si>
  <si>
    <t>CONTRATACIÓN ADMINISTRATIVA</t>
  </si>
  <si>
    <t>¿Se cuenta con normativa interna para regular los diferentes alcances de la contratación administrativa en la entidad, con respecto a las siguientes etapas?</t>
  </si>
  <si>
    <t>a. Planificación</t>
  </si>
  <si>
    <t>Normativa interna sobre planificación de contratación administrativa</t>
  </si>
  <si>
    <t>b. Procedimientos de contratación</t>
  </si>
  <si>
    <t>Normativa interna sobre ejecución de procedimientos de contratación administrativa</t>
  </si>
  <si>
    <t>c. Aprobación interna de contratos</t>
  </si>
  <si>
    <t>Nomativa interna sobre aprobación interna de contratos</t>
  </si>
  <si>
    <t>d. Seguimiento de la ejecución de contratos</t>
  </si>
  <si>
    <t>Normativa interna sobre control de contratos</t>
  </si>
  <si>
    <t>¿Están formalmente definidos los plazos máximos que deben durar las diferentes actividades relacionadas con el proceso de contratación administrativa?</t>
  </si>
  <si>
    <t>Regulación interna sobre plazos máximos para las actividades del proceso de contratación administrativa</t>
  </si>
  <si>
    <t>¿Se cuenta con un programa de capacitación en materia de contratación adminstrativa?</t>
  </si>
  <si>
    <t>Programa de Capacitación o similar</t>
  </si>
  <si>
    <t>¿Se ha establecido una proveeduría u otra unidad que asuma el proceso de contratación administrativa?</t>
  </si>
  <si>
    <t>Documento descriptivo de la organización establecida para los procesos de contratación administrativa</t>
  </si>
  <si>
    <t>¿Están formalmente definidas las responsabilidades de los funcionarios asignados a las diferentes actividades relacionadas con el proceso de contratación administrativa?</t>
  </si>
  <si>
    <t>Documentación de puestos o procesos, según corresponda</t>
  </si>
  <si>
    <t>¿Se prepara un plan o programa anual de adquisiciones que contenga la información requerida por el Reglamento a la Ley de Contratación Administrativa?</t>
  </si>
  <si>
    <t>Plan de adquisiciones del año 2010</t>
  </si>
  <si>
    <t>¿Se mantiene y actualiza un registro de proveedores?</t>
  </si>
  <si>
    <t>Regulación del registro de proveedores</t>
  </si>
  <si>
    <t>¿Se digita de manera oportuna la información pertinente en el Sistema de Información de la Actividad Contractual (SIAC)?</t>
  </si>
  <si>
    <t>Verificación en los sistemas de la CGR</t>
  </si>
  <si>
    <t>PRESUPUESTO</t>
  </si>
  <si>
    <t>En relación con el visado de gastos: (SÓLO APLICA PARA GOBIERNO CENTRAL)</t>
  </si>
  <si>
    <t>a) ¿Existen mecanismos o disposiciones internas para regular el proceso correspondiente?</t>
  </si>
  <si>
    <t>NO APLICA</t>
  </si>
  <si>
    <t>Documentación de mecanismos o regulaciones sobre el particular</t>
  </si>
  <si>
    <t xml:space="preserve">b) ¿Existe un funcionario responsable del visado según lo establece el artículo 11.2 del Reglamento sobre Visado de Gastos? </t>
  </si>
  <si>
    <t>Indicación del funcionario y documento en que conste su designación y comunicación a la Contraloría General</t>
  </si>
  <si>
    <t>¿Existe un manual de procedimientos que regule el proceso presupuestario?</t>
  </si>
  <si>
    <t>Manual de procedimientos del proceso presupuestario</t>
  </si>
  <si>
    <t>¿Se formula el presupuesto inicial por programas?</t>
  </si>
  <si>
    <t>Presupuesto inicial vigente</t>
  </si>
  <si>
    <t xml:space="preserve">¿Se discuten y valoran los resultados de los informes de ejecución presupuestaria conel jerarca? </t>
  </si>
  <si>
    <t>¿Se cuenta con una contraloría de servicios o similar?</t>
  </si>
  <si>
    <t>Acuerdo de Junta Directiva donde fue conocida o aprobada, o documento equivalente.</t>
  </si>
  <si>
    <t>¿La información presupuestaria se digita oportunamente en el Sistema de Información sobre Planes y Presupuestos (SIPP)? (NO APLICA EN GOBIERNO CENTRAL)</t>
  </si>
  <si>
    <t>Verificación en los sistemas de la CGR - www.cgr.go.cr</t>
  </si>
  <si>
    <t>¿La liquidación presupuestaria y el informe de evaluación de resultados del año anterior se incorpora en el Sistema de Información de Planes y Presupuestos (SIPP) a más tardar el 16 de febrero, según lo señalado en la Ley Orgánica de la Contraloría General de la República y normativa atinente?</t>
  </si>
  <si>
    <t>¿La entidad prepara informes trimestrales de ejecución presupuestaria?</t>
  </si>
  <si>
    <t>Mostrar últimos informes a Marzo y Septiembre</t>
  </si>
  <si>
    <t>¿La entidad prepara informes semestrales de evaluación del cumplimiento de metas?</t>
  </si>
  <si>
    <t>Mostrar últimos dos informes</t>
  </si>
  <si>
    <t>¿La liquidación presupuestaria del año anterior se conoció o aprobó por la máxima autoridad institucional?</t>
  </si>
  <si>
    <t>Documento que respalde la aprobación</t>
  </si>
  <si>
    <t>TECNOLOGÍAS DE LAS INFORMACIÓN</t>
  </si>
  <si>
    <t>Se cuenta con un plan estratégico de Tecnologías de Información (TI) que al menos:</t>
  </si>
  <si>
    <t>a. Describa la forma en que los objetivos estratégicos de TI están alineados con los objetivos estratégicos de la institución</t>
  </si>
  <si>
    <t>Plan estratégico de TI, con indicación del lugar donde se describe la alineación de los objetivos de TI con los institucionales</t>
  </si>
  <si>
    <t>b. Disponga de un mecanismo para evaluar el impacto de TI en los objetivos estratégicos de la institución</t>
  </si>
  <si>
    <t>Plan estratégico de TI, con indicación del lugar donde constan los mecanismos de medición</t>
  </si>
  <si>
    <t>c. Incluya fuentes de financiamiento, estrategias de adquisiciones y un presupuesto que esté vinculado con el presupuesto institucional que se presenta ante la CGR</t>
  </si>
  <si>
    <t>Plan estratégico de TI, con indicación del lugar donde se señalan las fuentes de financiamiento, las estrategias de adquisiciones y el presupuesto vinculado al que se presenta a la CGR</t>
  </si>
  <si>
    <t>Se cuenta con un modelo de arquitectura de la información que:</t>
  </si>
  <si>
    <t>a. Sea conocido y utilizado por el nivel gerencial de la institución.</t>
  </si>
  <si>
    <t>Documento probatorio de que el nivel gerencial conoce el modelo de arquitectura de la información.</t>
  </si>
  <si>
    <t>b. Caracterice los datos de la institución, aunque sea a nivel general.</t>
  </si>
  <si>
    <t>Modelo de Arquitectura de Información, con indicación del lugar donde se caracterizan los datos institucionales.</t>
  </si>
  <si>
    <t>Se cuenta con un modelo de plataforma tecnológica, que defina los estándares, regulaciones y políticas para la adquisición y operación de sus distintos componentes  (hardware, software, aplicaciones, servicios, etc.)</t>
  </si>
  <si>
    <t>Modelo de Plataforma Tecnológica, con indicación del lugar donde se definen los estándares, las regulaciones y las políticas atinentes</t>
  </si>
  <si>
    <t>¿Se ha adoptado un marco técnico contable acorde con normas internacionales de contabilidad u otras regulaciones pertinentes (NICSP, NIIF, normas de CONASSIF)?</t>
  </si>
  <si>
    <t>¿Se han establecido los roles y responsabilidades de los funcionarios del departamento de TI o similar?</t>
  </si>
  <si>
    <t>Documento descriptivo de los roles y responsabilidades de esos funcionarios.</t>
  </si>
  <si>
    <t>Las TI utilizadas cuentan con las siguientes medidas para evitar las amenazas que conlleva su utilizacion para garantizarle al usuario su confidencialidad e integridad de la información:</t>
  </si>
  <si>
    <t>Captura de la página respectiva</t>
  </si>
  <si>
    <t>B. Antivirus actualizado</t>
  </si>
  <si>
    <t>Mostrar la licencia del antivirus</t>
  </si>
  <si>
    <t>C. Cifrado en la página web</t>
  </si>
  <si>
    <t>SERVICIO AL USUARIO</t>
  </si>
  <si>
    <t>¿Se han establecido mecanismos para admitir y atender las solicitudes, sugerencias, quejas y denuncias de los usuarios?</t>
  </si>
  <si>
    <t>Regulaciones institucionales para la atención de quejas y denuncias.</t>
  </si>
  <si>
    <t>¿Existen políticas acerca del tiempo máximo para el trámite de los asuntos o prestación del servicio?</t>
  </si>
  <si>
    <t>Regulaciones institucionales sobre plazos para atención de gestiones</t>
  </si>
  <si>
    <t>¿Se cuenta con una contraloría de servicios?</t>
  </si>
  <si>
    <t>Documento que dispone la creación de la contraloría de servicios o determina sus funciones</t>
  </si>
  <si>
    <t>¿Existen  mecanismos para  evaluar la gestión de la Contraloría de Servicios?</t>
  </si>
  <si>
    <t>Instrumento utilizado para medir la gestión de la Contraloría de Servicios.</t>
  </si>
  <si>
    <t>¿Se cuenta con una página web institucional actualizada al menos en el último mes?</t>
  </si>
  <si>
    <t>Indique el sitio web en la columna de "Observaciones"</t>
  </si>
  <si>
    <t>¿La página web muestra la siguiente información?:</t>
  </si>
  <si>
    <t>a) Datos básicos de la entidad: localización física, teléfonos, fax, horarios de trabajo y correos electrónicos</t>
  </si>
  <si>
    <t>b) Nombre y cargo de los jerarcas y titulares subordinados</t>
  </si>
  <si>
    <t>c) Índice salarial</t>
  </si>
  <si>
    <t>d) Estados financieros</t>
  </si>
  <si>
    <t>EJES</t>
  </si>
  <si>
    <t>NOTA</t>
  </si>
  <si>
    <t>I Consolidación</t>
  </si>
  <si>
    <t>lI Seguimiento</t>
  </si>
  <si>
    <t>III Resultados</t>
  </si>
  <si>
    <t>IGI</t>
  </si>
  <si>
    <t>Plan Nacional de Desarrollo 2010-2014, Plan Operativo Institucional 2012, Planes de Gestión Institucional.</t>
  </si>
  <si>
    <t>Plan Operativo Institucional 2013.</t>
  </si>
  <si>
    <t>Decreto Ejecutivo N° 34695-J: Reglamento de Organización y Funcionamiento de la Dirección General de la Auditoria Interna, del 25-08-2008.</t>
  </si>
  <si>
    <t>Aplicación de Evaluación del Desempeño aplicada a los funcionarios cubiertos por el Régimen del Estatuto de Servicio Civil y los funcionarios del Regimen Penitenciario.</t>
  </si>
  <si>
    <t>Decreto Ejecutivo N° 36459: Reglamento para el Uso de los Recursos Tecnológicos de Información del Ministerio de Justicia y Paz.</t>
  </si>
  <si>
    <t xml:space="preserve">Con base en lo informado por el Órgano Contralor mediante oficio DFOE -SD-0199 del 19 de enero del 2013, donde se indica el cumplimiento de las disposiciones o que están en proceso de cumplimiento. </t>
  </si>
  <si>
    <t>Circulares PI 0001-2011, PI 0002-2011, PI 0010-2011 y PI 004-2012.</t>
  </si>
  <si>
    <t>Circulares PI 0005-2011 y PI 0006-2011; Manuales Publicados por la Dirección General de Administración de Bienes y Contratación Administrativa ( DGABCA) del Ministerio de Hacienda.</t>
  </si>
  <si>
    <t>Manuales Publicados por la Dirección General de Administración de Bienes y Contratación Administrativa ( DGABCA) del Ministerio de Hacienda.</t>
  </si>
  <si>
    <t>Circular PI-0001-2011 y Resoluciones del Despacho del Ministro, N° 323-2010 de las ocho horas del 16 d ejunio del 2010, N° 235-2011 de las nueve horas del 05 d emayo del 2011 y N° 857-2012 de las once horas del 01 de noviembre de 2012.</t>
  </si>
  <si>
    <t>Circulares PI 0001-2011, PI 0002-2011, PI 0010-2011 y PI 004-2012 y cronograma estándar elaborado por la Proveeduría Institucional .</t>
  </si>
  <si>
    <t>Programa de Capacitación de la Proveeduría Institucional.</t>
  </si>
  <si>
    <t>Decreto Eejcutivo N° 32186-J del 04 de junio del 2004, publicado en el diario Oficial La Gaceta N° 15 del 21 de eenro de 2005.</t>
  </si>
  <si>
    <t xml:space="preserve">Mismas circulars de la Proveeduría Institucional y resoluciones ministeriales citadas, así como manuales elaborados y publicados por la DGABCA. </t>
  </si>
  <si>
    <t>Programa anual de adquisiciones 2013, según aviso publicado en el Alcance Digital no. 10 a La Gaceta No. 12 del 17 de enero del 2013.</t>
  </si>
  <si>
    <t>Se atienden permanentemente los reportes de inconsistencias y se coordina con los enlaces tanto en la DGABCA como en la Contraloría General de la República.</t>
  </si>
  <si>
    <t>http://www.mjp.go.cr/</t>
  </si>
  <si>
    <t>http://www.mjp.go.cr/index.php?option=com_content&amp;view=article&amp;id=103&amp;Itemid=87
http://www.mjp.go.cr/index.php?option=com_content&amp;view=article&amp;id=80&amp;Itemid=61</t>
  </si>
  <si>
    <t>http://www.mjp.go.cr/index.php?option=com_phocadownload&amp;view=category&amp;id=17:informacin-salarial&amp;Itemid=37</t>
  </si>
  <si>
    <t>http://www.mjp.go.cr/index.php?option=com_remository&amp;Itemid=95&amp;func=select&amp;id=17</t>
  </si>
  <si>
    <t>http://www.mjp.go.cr/index.php?option=com_phocadownload&amp;view=category&amp;id=38:plan-operativo-institucional&amp;Itemid=37</t>
  </si>
  <si>
    <t>http://www.mjp.go.cr/index.php?option=com_phocadownload&amp;view=section&amp;id=6:planes_compra&amp;Itemid=37</t>
  </si>
  <si>
    <t>http://culturadepaz.mjp.go.cr/index.php?option=com_chronocontact&amp;Itemid=77
http://www.mjp.go.cr/index.php?option=com_contact&amp;view=contact&amp;id=1&amp;Itemid=64</t>
  </si>
  <si>
    <t>Se elaboró un borrador de propuesta de manual de inducción el cual se encuentra en revisión por parte del Proceso de Gestión de Organización y Empleo.</t>
  </si>
  <si>
    <t>Existe el procedimiento para el Reclutamiento y Selección del Personal de la Policía Penitenciaria.</t>
  </si>
  <si>
    <t>Se cuenta con el Plan de Capacitación Institucional (PIC), el cual se encuentra debidamente avalado por los jerarcas de la Institución y por la Dirección General de Servicio Civil.</t>
  </si>
  <si>
    <t>Ministerio de Justicia y Paz</t>
  </si>
  <si>
    <t>Correspondencia enviada del año 2012, Oficios N°: PLAN / 064-12, PLAN/ 065-12, PLAN/066/12, PLAN/068-04-2012, PLAN/069-04-20012, PLAN/070-04-2012, PLAN/071-04-2012, PLAN/072-04-2012, PLAN/073-04-2012, PLAN/074-04-2012, PLAN/075-04-2012, PLAN/077-04-2012, PLAN/078-04-2012, PLAN/079-04-2012, PLAN/080-04*-2012, PLAN/081-04-2012.</t>
  </si>
  <si>
    <t>Decreto No. 26965-J de Creación, organización y funcionamientos de la Contralorías de Servicios del Ministerio de Justicia y Paz, La Gaceta N° 98 del 22-05-98</t>
  </si>
  <si>
    <t xml:space="preserve">Informe Anual de Labores de la Contraloría de Servicios remitido  a la Secretaría Técnica de las Contralorías de Servicios, MIDEPLAN, y el informe de resultados de gestión semestral y anual. </t>
  </si>
  <si>
    <t>http://www.mjp.go.cr/
http://culturadepaz.mjp.go.cr/</t>
  </si>
  <si>
    <t>http://culturadepaz.mjp.go.cr/</t>
  </si>
  <si>
    <t>Presentación del Manual de Procedimientos de Servicios al Usario Externo (SSUE), 16/10/2012.</t>
  </si>
  <si>
    <t>Manuales de procedimientos de cada dependencia.</t>
  </si>
  <si>
    <t>Manual de Clases de la Dirección General de Servicio Civil y el Manual de Clases de la Policía Penitenciaria.</t>
  </si>
  <si>
    <t>La liquidación de presupesto es realizada por la Contabilidad Nacional.</t>
  </si>
  <si>
    <t>Decreto Ejecutivo N° 25113-H: Reglamento para la utilización del registro de proveedores, 24/04/1996.</t>
  </si>
  <si>
    <t>Elaborado por: Bianca Ramírez Zamora</t>
  </si>
  <si>
    <t>Aprobado por: Jorge Rodríguez Bogle</t>
  </si>
  <si>
    <t>Ley N° 6739: Ley Orgánica del Ministerio de Justicia y Paz, Ley N° 8771: Modificación a la ley del Ministerio de Justicia para que en adelante se denomine Ministerio de Justicia y Paz y  la creación del Sistema Nacional para la Promoción de la Paz y la Convivencia Ciudadana, Ley N° 4762: Ley de Creación de la Dirección General de Adaptación Social, Plan Operativo Institucional 2013.</t>
  </si>
  <si>
    <t>Los plazos para la atención de las diferentes gestiones se indican en la normas y procedimientos establecidos para su atención.</t>
  </si>
  <si>
    <t>Considera unicamente los programas presupuestarios 779, 780 y 783.</t>
  </si>
  <si>
    <t>SIGI 04 D01: Sistema Específico de Valoración del Riesgo Institucional del Ministerio de Justicia y Paz (SEVRI-MJP), Noviembre de 2012.</t>
  </si>
  <si>
    <t>SIGI 04.1: Procedimiento para la Valoración del Riesgo Institucional.</t>
  </si>
  <si>
    <t>Decreto Ejecutivo N° 36495-JP: Reglamento para el Uso de los Recursos Tecnológicos de Información del Ministerio de Justicia y Paz, publicado en la Gaceta Nº 63 del 30 de marzo del 2011; Decreto Ejecutivo N° 30720-H: Reglamento para el registro y control de Bienes de la Administración Central,  del 26 de Agosto del 2002; Decreto Ejecutivo N° 26230-J: Reglamento para el uso de vehículos del Minsiterio de Justicia y Paz, 14/08/1997; Convenio Marco IDC-MJP, del 19/12/2006; Convenio para el uso y disfrute de inmuebles propiedad de la Junta Administrativa del Registro Nacional, para el Ministerio de Justicia y Paz, 26/03/1990.</t>
  </si>
  <si>
    <t>Decreto Ejecutivo N° 35790-J del 3 de marzo del 2010: Reglamento de Garantías de los funcionarios públicos del Ministerio de Justicia y Paz; Circular N° OM-0010-2010 del 9 de junio del 2010: Garantias que deben rendir los funcionarios encargados de recaudar, custodiar o administrar fondos y valores públicos.</t>
  </si>
  <si>
    <t>La Dirección de Gestión Institucional de Recursos Humanos es responsable de informar y tramitar los informes de de fin de gestión, mismos que se realizan de conformidad con la Resolución R.CO.61, del 7 de julio del 2005, emitida por la Contratloría General de la República.</t>
  </si>
  <si>
    <t>El procedimiento se describe en el Decreto No. 26965-J de Creación, organización y funcionamientos de la Contralorías de Servicios del Ministerio de Justicia y Paz, La Gaceta N° 98 del 22-05-98</t>
  </si>
  <si>
    <t>No percibe ingresos</t>
  </si>
  <si>
    <t>Reglamento para el Uso de los Recursos Tecnológicos de Información del Ministerio de Justicia y Paz, Decreto Ejecutivo N° 36495-JP.</t>
  </si>
  <si>
    <t>Fecha:              12/02/2013</t>
  </si>
  <si>
    <t>Fecha:             12/02/2013</t>
  </si>
  <si>
    <t>Decreto Ejecutivo N° 26095-J:Reglamento Autónomo de Servicio del Ministerio de Justicia y Paz.</t>
  </si>
  <si>
    <t xml:space="preserve">No obstante se cita la normativa vinculante al cumplimiento de aspectos eticos institucionales, entre ellos Decreto Ejecutivo N° 26095-J:Reglamento Autónomo de Servicio del Ministerio de Justicia y Paz, Capítulo IV; La Dirección de Gestión Institucional de Recursos Humanos, por medio del Proceso de Gestión del Ambiente Laboral hace del conocimiento del personal, los principios éticos de los funcionarios públicos, emitidos mediante el Decreto Ejecutivo N° 33146-MP, publicado en el diario oficial la Gaceta N° 104 del 31 de mayo del 2006; Decreto Ejecutivo N° 36495-JP: Reglamento para el Uso de los Recursos Tecnológicos de Información del Ministerio de Justicia y Paz, publicado en la Gaceta Nº 63 del 30 de marzo del 2011; Decreto Ejecutivo N° 26061-J: Reglamento General de la Policia Penitenciaria.                                   Asimismo, es relevante considerar que como parte del Programa para la Prevención y Promoción de la Inclusión Social (Prestamo BID) se incorporó un proyecto que consiste en el fortalecimiento institucional de Ministerio de Justicia y Paz, donde entre otras cosas se cuenta con un componente de fortalecimiento de los mecanismos de trasparencia.                                         </t>
  </si>
  <si>
    <t>Ley Orgánica del Ministerio de Justicia, Ley N° 6739 y sus reformas; Ley de Creación de la Dirección General de Adaptacion Social, Ley N° 4762; Aprobación del Contrato de Préstamo N° 2526/OC-CR Suscrito entre la República de Costa Rica y el Banco Interamericano de Desarrollo para Financiar el Programa para la Prevención de la Violencia y Promoción de la Inclusión Social, Ley N° 9025; Reglamento Técnico del Sistema Penitenciario Nacional, Decreto Ejecutivo N° 33876-J; Creación de la Contraloría de Servicios del Ministerio de Justicia y Paz, Decreto Ejecutivo N° 26965-J; Reglamento de Organización y Funcionamiento de la Dirección General de Auditoríoa Interno, Decreto Ejecutivo N° 34695-J. Reglamento de Órganos Jerárquicos Superiores del Ministerio de Justicia y Paz, Decreto Ejecutivo N° 37360-JP; entre otros. Actualmente la institución se encuentra realizando el proceso correspondiente para la actualización del organigrama.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</si>
</sst>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 #,##0.00_ ;_ * \-#,##0.00_ ;_ * &quot;-&quot;??_ ;_ @_ "/>
    <numFmt numFmtId="165" formatCode="0.0%"/>
    <numFmt numFmtId="166" formatCode="_ * #,##0.0_ ;_ * \-#,##0.0_ ;_ * &quot;-&quot;??_ ;_ @_ "/>
    <numFmt numFmtId="167" formatCode="0.0"/>
  </numFmts>
  <fonts count="42" x14ac:knownFonts="1">
    <font>
      <sz val="10"/>
      <name val="Arial"/>
    </font>
    <font>
      <sz val="10"/>
      <name val="Arial"/>
    </font>
    <font>
      <b/>
      <sz val="11"/>
      <name val="Arial"/>
      <family val="2"/>
    </font>
    <font>
      <sz val="10"/>
      <name val="Arial"/>
      <family val="2"/>
    </font>
    <font>
      <sz val="11"/>
      <name val="Calibri"/>
      <family val="2"/>
    </font>
    <font>
      <sz val="11"/>
      <color indexed="9"/>
      <name val="Calibri"/>
      <family val="2"/>
    </font>
    <font>
      <b/>
      <sz val="16"/>
      <name val="Arial"/>
      <family val="2"/>
    </font>
    <font>
      <i/>
      <sz val="9"/>
      <name val="Arial"/>
      <family val="2"/>
    </font>
    <font>
      <sz val="10"/>
      <color indexed="9"/>
      <name val="Arial"/>
      <family val="2"/>
    </font>
    <font>
      <sz val="10"/>
      <color indexed="8"/>
      <name val="Arial"/>
      <family val="2"/>
    </font>
    <font>
      <sz val="11"/>
      <name val="Arial"/>
      <family val="2"/>
    </font>
    <font>
      <sz val="9"/>
      <color indexed="9"/>
      <name val="Arial"/>
      <family val="2"/>
    </font>
    <font>
      <b/>
      <sz val="11"/>
      <name val="Arial"/>
    </font>
    <font>
      <b/>
      <sz val="10"/>
      <color indexed="8"/>
      <name val="Arial"/>
      <family val="2"/>
    </font>
    <font>
      <b/>
      <sz val="10"/>
      <name val="Arial"/>
      <family val="2"/>
    </font>
    <font>
      <sz val="9"/>
      <name val="Arial"/>
      <family val="2"/>
    </font>
    <font>
      <i/>
      <sz val="10"/>
      <color indexed="8"/>
      <name val="Arial"/>
      <family val="2"/>
    </font>
    <font>
      <b/>
      <i/>
      <sz val="10"/>
      <color indexed="8"/>
      <name val="Arial"/>
      <family val="2"/>
    </font>
    <font>
      <i/>
      <sz val="10"/>
      <name val="Arial"/>
      <family val="2"/>
    </font>
    <font>
      <b/>
      <sz val="11"/>
      <color indexed="8"/>
      <name val="Calibri"/>
      <family val="2"/>
    </font>
    <font>
      <u/>
      <sz val="8"/>
      <color indexed="12"/>
      <name val="Arial"/>
    </font>
    <font>
      <b/>
      <i/>
      <sz val="14"/>
      <name val="Arial"/>
      <family val="2"/>
    </font>
    <font>
      <b/>
      <sz val="9"/>
      <color indexed="8"/>
      <name val="Arial"/>
      <family val="2"/>
    </font>
    <font>
      <sz val="11"/>
      <color indexed="8"/>
      <name val="Calibri"/>
      <family val="2"/>
    </font>
    <font>
      <i/>
      <u/>
      <sz val="9"/>
      <color indexed="8"/>
      <name val="Arial"/>
      <family val="2"/>
    </font>
    <font>
      <b/>
      <sz val="12"/>
      <name val="Arial"/>
      <family val="2"/>
    </font>
    <font>
      <b/>
      <sz val="11"/>
      <name val="Calibri"/>
      <family val="2"/>
    </font>
    <font>
      <i/>
      <sz val="11"/>
      <name val="Calibri"/>
      <family val="2"/>
    </font>
    <font>
      <b/>
      <sz val="14"/>
      <name val="Arial"/>
      <family val="2"/>
    </font>
    <font>
      <sz val="12"/>
      <name val="Arial"/>
      <family val="2"/>
    </font>
    <font>
      <sz val="12"/>
      <color indexed="8"/>
      <name val="Arial"/>
      <family val="2"/>
    </font>
    <font>
      <sz val="8"/>
      <name val="Arial"/>
    </font>
    <font>
      <b/>
      <i/>
      <sz val="10"/>
      <name val="Arial"/>
      <family val="2"/>
    </font>
    <font>
      <sz val="11"/>
      <color indexed="8"/>
      <name val="Arial"/>
      <family val="2"/>
    </font>
    <font>
      <b/>
      <sz val="11"/>
      <color indexed="8"/>
      <name val="Arial"/>
      <family val="2"/>
    </font>
    <font>
      <b/>
      <i/>
      <sz val="14"/>
      <color indexed="10"/>
      <name val="Arial"/>
      <family val="2"/>
    </font>
    <font>
      <b/>
      <sz val="14"/>
      <name val="Bookman Old Style"/>
      <family val="1"/>
    </font>
    <font>
      <b/>
      <sz val="14"/>
      <name val="Times New Roman"/>
      <family val="1"/>
    </font>
    <font>
      <sz val="12"/>
      <name val="Bookman Old Style"/>
      <family val="1"/>
    </font>
    <font>
      <b/>
      <sz val="10"/>
      <name val="Bookman Old Style"/>
      <family val="1"/>
    </font>
    <font>
      <sz val="11"/>
      <color indexed="8"/>
      <name val="Bookman Old Style"/>
      <family val="1"/>
    </font>
    <font>
      <sz val="10"/>
      <name val="Bookman Old Style"/>
      <family val="1"/>
    </font>
  </fonts>
  <fills count="8">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indexed="45"/>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top style="thick">
        <color indexed="17"/>
      </top>
      <bottom style="medium">
        <color indexed="17"/>
      </bottom>
      <diagonal/>
    </border>
    <border>
      <left/>
      <right/>
      <top style="medium">
        <color indexed="17"/>
      </top>
      <bottom/>
      <diagonal/>
    </border>
    <border>
      <left/>
      <right/>
      <top/>
      <bottom style="thick">
        <color indexed="17"/>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20"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0" fontId="1" fillId="0" borderId="0"/>
    <xf numFmtId="9" fontId="1" fillId="0" borderId="0" applyFont="0" applyFill="0" applyBorder="0" applyAlignment="0" applyProtection="0"/>
  </cellStyleXfs>
  <cellXfs count="280">
    <xf numFmtId="0" fontId="0" fillId="0" borderId="0" xfId="0"/>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4" fillId="0" borderId="0" xfId="0" applyFont="1" applyAlignment="1">
      <alignment vertical="center" wrapText="1"/>
    </xf>
    <xf numFmtId="0" fontId="5" fillId="0" borderId="0" xfId="0" applyFont="1" applyAlignment="1">
      <alignment vertical="center" wrapText="1"/>
    </xf>
    <xf numFmtId="0" fontId="7" fillId="0" borderId="0" xfId="0" applyFont="1"/>
    <xf numFmtId="0" fontId="8" fillId="0" borderId="0" xfId="0" applyFont="1" applyAlignment="1">
      <alignment vertical="center" wrapText="1"/>
    </xf>
    <xf numFmtId="0" fontId="9" fillId="0" borderId="0" xfId="0" applyFont="1" applyAlignment="1">
      <alignment vertical="center" wrapText="1"/>
    </xf>
    <xf numFmtId="0" fontId="2" fillId="0" borderId="0" xfId="0" applyFont="1" applyFill="1" applyAlignment="1">
      <alignment horizontal="center" vertical="top" wrapText="1"/>
    </xf>
    <xf numFmtId="0" fontId="10" fillId="0" borderId="0" xfId="0" applyFont="1"/>
    <xf numFmtId="0" fontId="10" fillId="0" borderId="0" xfId="0" applyFont="1" applyFill="1" applyAlignment="1">
      <alignment horizontal="center" vertical="top" wrapText="1"/>
    </xf>
    <xf numFmtId="0" fontId="2" fillId="0" borderId="0" xfId="0" applyFont="1" applyFill="1" applyAlignment="1">
      <alignment vertical="top" wrapText="1"/>
    </xf>
    <xf numFmtId="0" fontId="9" fillId="0" borderId="0" xfId="0" applyFont="1" applyAlignment="1">
      <alignment horizontal="center" vertical="center" wrapText="1"/>
    </xf>
    <xf numFmtId="0" fontId="11" fillId="0" borderId="0" xfId="0" applyFont="1" applyAlignment="1">
      <alignment vertic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3"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13" fillId="2" borderId="0" xfId="0" applyFont="1" applyFill="1" applyAlignment="1">
      <alignment vertical="center" wrapText="1"/>
    </xf>
    <xf numFmtId="0" fontId="3" fillId="0" borderId="0" xfId="0" applyFont="1" applyAlignment="1">
      <alignment horizontal="center" vertical="center" wrapText="1"/>
    </xf>
    <xf numFmtId="0" fontId="14" fillId="0" borderId="0" xfId="0" applyFont="1" applyAlignment="1">
      <alignment vertical="center" wrapText="1"/>
    </xf>
    <xf numFmtId="0" fontId="3" fillId="0" borderId="0" xfId="6" applyFont="1" applyFill="1" applyBorder="1" applyAlignment="1">
      <alignment horizontal="left" vertical="center" wrapText="1"/>
    </xf>
    <xf numFmtId="0" fontId="13" fillId="0" borderId="0" xfId="0" applyFont="1" applyFill="1" applyAlignment="1">
      <alignment horizontal="center" vertical="center" wrapText="1"/>
    </xf>
    <xf numFmtId="0" fontId="15" fillId="0" borderId="0" xfId="0" applyFont="1"/>
    <xf numFmtId="0" fontId="3" fillId="0" borderId="0" xfId="6" applyFont="1" applyFill="1" applyAlignment="1">
      <alignment horizontal="left" vertical="center" wrapText="1"/>
    </xf>
    <xf numFmtId="0" fontId="9" fillId="0" borderId="0" xfId="0" applyFont="1" applyFill="1" applyAlignment="1">
      <alignmen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5" fillId="0" borderId="0" xfId="0" applyFont="1" applyFill="1" applyAlignment="1">
      <alignment vertical="center" wrapText="1"/>
    </xf>
    <xf numFmtId="0" fontId="15" fillId="0" borderId="0" xfId="0" applyFont="1" applyFill="1"/>
    <xf numFmtId="0" fontId="3" fillId="0" borderId="0" xfId="5" applyFont="1" applyFill="1" applyAlignment="1">
      <alignment horizontal="left" vertical="center" wrapText="1"/>
    </xf>
    <xf numFmtId="0" fontId="9" fillId="0" borderId="0" xfId="0" applyFont="1" applyFill="1" applyAlignment="1">
      <alignment horizontal="center" vertical="center" wrapText="1"/>
    </xf>
    <xf numFmtId="0" fontId="3" fillId="0" borderId="0" xfId="5" applyFont="1" applyFill="1" applyAlignment="1">
      <alignment horizontal="left" vertical="center" wrapText="1" indent="1"/>
    </xf>
    <xf numFmtId="0" fontId="3" fillId="0" borderId="0" xfId="0" applyFont="1" applyFill="1" applyBorder="1" applyAlignment="1">
      <alignment horizontal="left" vertical="center" wrapText="1"/>
    </xf>
    <xf numFmtId="0" fontId="16" fillId="0" borderId="0" xfId="0" applyFont="1" applyAlignment="1">
      <alignment vertical="center" wrapText="1"/>
    </xf>
    <xf numFmtId="0" fontId="17" fillId="0" borderId="0" xfId="0" applyFont="1" applyAlignment="1">
      <alignment horizontal="center" vertical="center" wrapText="1"/>
    </xf>
    <xf numFmtId="0" fontId="3" fillId="0" borderId="0" xfId="5" applyFont="1" applyFill="1" applyBorder="1" applyAlignment="1">
      <alignment horizontal="left" vertical="center" wrapText="1"/>
    </xf>
    <xf numFmtId="0" fontId="9" fillId="0" borderId="0" xfId="0" applyFont="1" applyAlignment="1" applyProtection="1">
      <alignment vertical="center" wrapText="1"/>
    </xf>
    <xf numFmtId="0" fontId="16" fillId="0" borderId="0" xfId="0" applyFont="1" applyFill="1" applyAlignment="1">
      <alignment vertical="center" wrapText="1"/>
    </xf>
    <xf numFmtId="0" fontId="9" fillId="0" borderId="0" xfId="0" applyFont="1" applyFill="1" applyBorder="1" applyAlignment="1">
      <alignment horizontal="left" vertical="center" wrapText="1"/>
    </xf>
    <xf numFmtId="0" fontId="18" fillId="0" borderId="0" xfId="0" applyFont="1" applyAlignment="1">
      <alignment vertical="center" wrapText="1"/>
    </xf>
    <xf numFmtId="0" fontId="3" fillId="0" borderId="0" xfId="5" applyFont="1" applyFill="1" applyBorder="1" applyAlignment="1">
      <alignment horizontal="left" vertical="center" wrapText="1" indent="1"/>
    </xf>
    <xf numFmtId="0" fontId="15" fillId="0" borderId="0" xfId="0" applyFont="1" applyAlignment="1">
      <alignment horizontal="left" vertical="center"/>
    </xf>
    <xf numFmtId="0" fontId="3" fillId="0" borderId="0" xfId="5" applyFont="1" applyAlignment="1">
      <alignment horizontal="left" vertical="center" wrapText="1"/>
    </xf>
    <xf numFmtId="0" fontId="3" fillId="0" borderId="0" xfId="0" applyFont="1" applyBorder="1" applyAlignment="1">
      <alignment vertical="center" wrapText="1"/>
    </xf>
    <xf numFmtId="43" fontId="10" fillId="0" borderId="0" xfId="0" applyNumberFormat="1" applyFont="1" applyAlignment="1">
      <alignment vertical="center" wrapText="1"/>
    </xf>
    <xf numFmtId="0" fontId="3" fillId="0" borderId="0" xfId="5" applyFont="1" applyAlignment="1" applyProtection="1">
      <alignment horizontal="left" vertical="center" wrapText="1"/>
    </xf>
    <xf numFmtId="0" fontId="3" fillId="0" borderId="0" xfId="0" applyFont="1" applyFill="1" applyBorder="1" applyAlignment="1">
      <alignment horizontal="left" vertical="center" wrapText="1" indent="1"/>
    </xf>
    <xf numFmtId="0" fontId="3" fillId="0" borderId="0" xfId="5" applyFont="1" applyFill="1" applyAlignment="1">
      <alignment vertical="center" wrapText="1"/>
    </xf>
    <xf numFmtId="0" fontId="3" fillId="0" borderId="0" xfId="0" applyFont="1" applyAlignment="1">
      <alignment vertical="center"/>
    </xf>
    <xf numFmtId="0" fontId="3" fillId="0" borderId="0" xfId="5" applyFont="1" applyBorder="1" applyAlignment="1">
      <alignment horizontal="left" vertical="center" wrapText="1"/>
    </xf>
    <xf numFmtId="0" fontId="9" fillId="0" borderId="0" xfId="0" applyFont="1" applyFill="1" applyAlignment="1">
      <alignment horizontal="left" vertical="center" wrapText="1" indent="1"/>
    </xf>
    <xf numFmtId="43" fontId="9" fillId="0" borderId="0" xfId="2" applyFont="1" applyAlignment="1" applyProtection="1">
      <alignment horizontal="center" vertical="center" wrapText="1"/>
    </xf>
    <xf numFmtId="43" fontId="19" fillId="0" borderId="0" xfId="2" applyFont="1" applyAlignment="1">
      <alignment horizontal="center" vertical="center" wrapText="1"/>
    </xf>
    <xf numFmtId="0" fontId="20" fillId="0" borderId="0" xfId="1" applyAlignment="1" applyProtection="1">
      <alignment horizontal="center" vertical="center" wrapText="1"/>
    </xf>
    <xf numFmtId="0" fontId="21" fillId="2" borderId="0" xfId="5"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2" borderId="0" xfId="0" applyFont="1" applyFill="1" applyAlignment="1">
      <alignment vertical="center" wrapText="1"/>
    </xf>
    <xf numFmtId="0" fontId="22" fillId="3" borderId="0" xfId="7" applyFont="1" applyFill="1" applyBorder="1" applyAlignment="1">
      <alignment horizontal="center" vertical="center"/>
    </xf>
    <xf numFmtId="0" fontId="22" fillId="0" borderId="2" xfId="7" applyFont="1" applyBorder="1" applyAlignment="1">
      <alignment vertical="center"/>
    </xf>
    <xf numFmtId="0" fontId="24" fillId="0" borderId="0" xfId="7" applyFont="1" applyAlignment="1">
      <alignment horizontal="left" vertical="center" indent="1"/>
    </xf>
    <xf numFmtId="0" fontId="0" fillId="0" borderId="3" xfId="0" applyBorder="1" applyAlignment="1">
      <alignment vertical="center" wrapText="1"/>
    </xf>
    <xf numFmtId="0" fontId="19" fillId="0" borderId="0" xfId="0" applyFont="1" applyAlignment="1">
      <alignment horizontal="center" vertical="center" wrapText="1"/>
    </xf>
    <xf numFmtId="0" fontId="10" fillId="0" borderId="0" xfId="0" applyFont="1" applyFill="1" applyAlignment="1">
      <alignment vertical="top" wrapText="1"/>
    </xf>
    <xf numFmtId="0" fontId="15" fillId="0" borderId="0" xfId="0" applyFont="1" applyAlignment="1">
      <alignment vertical="center"/>
    </xf>
    <xf numFmtId="0" fontId="17" fillId="4" borderId="0" xfId="0" applyFont="1" applyFill="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4" fillId="0" borderId="4" xfId="0" applyFont="1" applyBorder="1"/>
    <xf numFmtId="0" fontId="3" fillId="0" borderId="6" xfId="0" applyFont="1" applyBorder="1" applyAlignment="1">
      <alignment vertical="center" wrapText="1"/>
    </xf>
    <xf numFmtId="0" fontId="4" fillId="0" borderId="5" xfId="0" applyFont="1" applyBorder="1"/>
    <xf numFmtId="0" fontId="3" fillId="0" borderId="5" xfId="0" applyFont="1" applyFill="1" applyBorder="1" applyAlignment="1">
      <alignment vertical="center" wrapText="1"/>
    </xf>
    <xf numFmtId="0" fontId="4" fillId="0" borderId="5" xfId="0" applyFont="1" applyFill="1" applyBorder="1"/>
    <xf numFmtId="0" fontId="3" fillId="0" borderId="6" xfId="0" applyFont="1" applyFill="1" applyBorder="1" applyAlignment="1">
      <alignment vertical="center" wrapText="1"/>
    </xf>
    <xf numFmtId="0" fontId="4" fillId="0" borderId="6" xfId="0" applyFont="1" applyFill="1" applyBorder="1"/>
    <xf numFmtId="0" fontId="3" fillId="0" borderId="7" xfId="0" applyFont="1" applyBorder="1" applyAlignment="1">
      <alignment horizontal="center" vertical="center" wrapText="1"/>
    </xf>
    <xf numFmtId="0" fontId="14" fillId="0" borderId="0" xfId="0" applyFont="1" applyBorder="1" applyAlignment="1">
      <alignment vertical="center" wrapText="1"/>
    </xf>
    <xf numFmtId="0" fontId="26" fillId="0" borderId="0" xfId="0" applyFont="1" applyBorder="1" applyAlignment="1">
      <alignment vertical="center" wrapText="1"/>
    </xf>
    <xf numFmtId="0" fontId="26" fillId="0" borderId="8" xfId="0" applyFont="1" applyBorder="1" applyAlignment="1">
      <alignment vertical="center" wrapText="1"/>
    </xf>
    <xf numFmtId="0" fontId="14" fillId="0" borderId="7" xfId="0" applyFont="1" applyBorder="1" applyAlignment="1">
      <alignment horizontal="center" vertical="center" wrapText="1"/>
    </xf>
    <xf numFmtId="0" fontId="4" fillId="0" borderId="0" xfId="0" applyFont="1" applyBorder="1" applyAlignment="1">
      <alignment vertical="center" wrapText="1"/>
    </xf>
    <xf numFmtId="2" fontId="4" fillId="0" borderId="0" xfId="0" applyNumberFormat="1" applyFont="1" applyBorder="1" applyAlignment="1">
      <alignment vertical="center" wrapText="1"/>
    </xf>
    <xf numFmtId="43" fontId="4" fillId="0" borderId="0" xfId="2" applyFont="1" applyBorder="1" applyAlignment="1">
      <alignment vertical="center" wrapText="1"/>
    </xf>
    <xf numFmtId="43" fontId="4" fillId="0" borderId="0" xfId="0" applyNumberFormat="1" applyFont="1" applyBorder="1" applyAlignment="1">
      <alignment vertical="center" wrapText="1"/>
    </xf>
    <xf numFmtId="0" fontId="4" fillId="0" borderId="8" xfId="0" applyFont="1" applyBorder="1" applyAlignment="1">
      <alignment vertical="center" wrapText="1"/>
    </xf>
    <xf numFmtId="0" fontId="4" fillId="0" borderId="7" xfId="0" applyFont="1" applyBorder="1" applyAlignment="1">
      <alignment horizontal="center" vertical="center" wrapText="1"/>
    </xf>
    <xf numFmtId="0" fontId="14" fillId="0" borderId="0" xfId="0" applyFont="1" applyBorder="1" applyAlignment="1">
      <alignment vertical="center"/>
    </xf>
    <xf numFmtId="0" fontId="3" fillId="0" borderId="0" xfId="0" applyFont="1" applyBorder="1" applyAlignment="1">
      <alignment vertical="center"/>
    </xf>
    <xf numFmtId="9" fontId="4" fillId="0" borderId="0" xfId="9" applyFont="1" applyBorder="1" applyAlignment="1">
      <alignment vertical="center" wrapText="1"/>
    </xf>
    <xf numFmtId="43" fontId="3" fillId="0" borderId="0" xfId="2" applyFont="1" applyBorder="1" applyAlignment="1">
      <alignment vertical="center" wrapText="1"/>
    </xf>
    <xf numFmtId="0" fontId="3" fillId="0" borderId="0" xfId="0" applyFont="1" applyBorder="1" applyAlignment="1">
      <alignment horizontal="left" vertical="center"/>
    </xf>
    <xf numFmtId="165" fontId="3" fillId="0" borderId="0" xfId="9" applyNumberFormat="1" applyFont="1" applyBorder="1" applyAlignment="1">
      <alignment vertical="center" wrapText="1"/>
    </xf>
    <xf numFmtId="43" fontId="15" fillId="0" borderId="0" xfId="2" applyFont="1" applyBorder="1"/>
    <xf numFmtId="0" fontId="14" fillId="4" borderId="7" xfId="0" applyFont="1" applyFill="1" applyBorder="1" applyAlignment="1">
      <alignment horizontal="center" vertical="center" wrapText="1"/>
    </xf>
    <xf numFmtId="10" fontId="3" fillId="0" borderId="0" xfId="9" applyNumberFormat="1" applyFont="1" applyBorder="1" applyAlignment="1">
      <alignment vertical="center" wrapText="1"/>
    </xf>
    <xf numFmtId="166" fontId="4" fillId="0" borderId="0" xfId="2" applyNumberFormat="1" applyFont="1" applyBorder="1" applyAlignment="1">
      <alignment vertical="center" wrapText="1"/>
    </xf>
    <xf numFmtId="43" fontId="3" fillId="0" borderId="0" xfId="2" applyFont="1" applyBorder="1" applyAlignment="1">
      <alignment horizontal="left" vertical="center" wrapText="1"/>
    </xf>
    <xf numFmtId="0" fontId="4" fillId="0" borderId="7" xfId="0" applyFont="1" applyBorder="1" applyAlignment="1">
      <alignment vertical="center" wrapText="1"/>
    </xf>
    <xf numFmtId="0" fontId="3" fillId="0" borderId="0" xfId="0" applyFont="1" applyBorder="1" applyAlignment="1">
      <alignment horizontal="left" vertical="center" indent="2"/>
    </xf>
    <xf numFmtId="165" fontId="4" fillId="0" borderId="0" xfId="9" applyNumberFormat="1" applyFont="1" applyBorder="1" applyAlignment="1">
      <alignment horizontal="right" vertical="center" wrapText="1"/>
    </xf>
    <xf numFmtId="165" fontId="4" fillId="0" borderId="0" xfId="9" applyNumberFormat="1" applyFont="1" applyBorder="1" applyAlignment="1">
      <alignment vertical="center" wrapText="1"/>
    </xf>
    <xf numFmtId="0" fontId="3" fillId="0" borderId="0" xfId="0" applyFont="1" applyBorder="1" applyAlignment="1">
      <alignment horizontal="left" vertical="center" indent="1"/>
    </xf>
    <xf numFmtId="0" fontId="4" fillId="0" borderId="0" xfId="0" applyNumberFormat="1" applyFont="1" applyBorder="1" applyAlignment="1">
      <alignment vertical="center" wrapText="1"/>
    </xf>
    <xf numFmtId="10" fontId="4" fillId="0" borderId="0" xfId="9" applyNumberFormat="1" applyFont="1" applyBorder="1" applyAlignment="1">
      <alignment vertical="center" wrapText="1"/>
    </xf>
    <xf numFmtId="0" fontId="7" fillId="0" borderId="0" xfId="0" applyFont="1" applyBorder="1"/>
    <xf numFmtId="0" fontId="3" fillId="0" borderId="9" xfId="0" applyFont="1" applyBorder="1" applyAlignment="1">
      <alignment horizontal="center" vertical="center" wrapText="1"/>
    </xf>
    <xf numFmtId="0" fontId="14" fillId="0" borderId="10" xfId="0" applyFont="1" applyBorder="1" applyAlignment="1">
      <alignment vertical="center" wrapText="1"/>
    </xf>
    <xf numFmtId="0" fontId="3" fillId="0" borderId="10" xfId="0" applyFont="1" applyBorder="1" applyAlignment="1">
      <alignment vertical="center" wrapText="1"/>
    </xf>
    <xf numFmtId="10" fontId="3" fillId="0" borderId="10" xfId="9" applyNumberFormat="1"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10" fillId="0" borderId="12" xfId="0" applyFont="1" applyBorder="1" applyAlignment="1">
      <alignment vertical="center" wrapText="1"/>
    </xf>
    <xf numFmtId="0" fontId="2" fillId="0" borderId="13" xfId="0" applyFont="1" applyBorder="1" applyAlignment="1">
      <alignment horizontal="center" vertical="center" wrapText="1"/>
    </xf>
    <xf numFmtId="43" fontId="10" fillId="0" borderId="0" xfId="0" applyNumberFormat="1" applyFont="1" applyBorder="1" applyAlignment="1">
      <alignment vertical="center" wrapText="1"/>
    </xf>
    <xf numFmtId="0" fontId="10" fillId="0" borderId="0" xfId="0" applyNumberFormat="1" applyFont="1" applyBorder="1" applyAlignment="1">
      <alignment vertical="center" wrapText="1"/>
    </xf>
    <xf numFmtId="43" fontId="3" fillId="0" borderId="0" xfId="5" applyNumberFormat="1" applyFont="1" applyBorder="1" applyAlignment="1">
      <alignment horizontal="left" vertical="center" wrapText="1"/>
    </xf>
    <xf numFmtId="0" fontId="3" fillId="0" borderId="14" xfId="0" applyFont="1" applyBorder="1" applyAlignment="1">
      <alignment vertical="center" wrapText="1"/>
    </xf>
    <xf numFmtId="43" fontId="3" fillId="0" borderId="14" xfId="2" applyFont="1" applyBorder="1" applyAlignment="1">
      <alignment horizontal="left" vertical="center" wrapText="1"/>
    </xf>
    <xf numFmtId="43" fontId="3" fillId="0" borderId="0" xfId="5" applyNumberFormat="1" applyFont="1" applyAlignment="1">
      <alignment horizontal="left" vertical="center" wrapText="1"/>
    </xf>
    <xf numFmtId="0" fontId="9" fillId="0" borderId="0" xfId="0" applyFont="1" applyFill="1" applyAlignment="1">
      <alignment vertical="center"/>
    </xf>
    <xf numFmtId="0" fontId="9" fillId="0" borderId="0" xfId="0" applyFont="1" applyAlignment="1">
      <alignment vertical="center"/>
    </xf>
    <xf numFmtId="0" fontId="14" fillId="0" borderId="0" xfId="0" applyFont="1" applyFill="1" applyBorder="1" applyAlignment="1">
      <alignment horizontal="left" vertical="center" wrapText="1"/>
    </xf>
    <xf numFmtId="165" fontId="9" fillId="0" borderId="0" xfId="9" applyNumberFormat="1" applyFont="1" applyAlignment="1">
      <alignment horizontal="center" vertical="center" wrapText="1"/>
    </xf>
    <xf numFmtId="10" fontId="13" fillId="0" borderId="0" xfId="9" applyNumberFormat="1" applyFont="1" applyAlignment="1">
      <alignment horizontal="center" vertical="center" wrapText="1"/>
    </xf>
    <xf numFmtId="0" fontId="13" fillId="0" borderId="0" xfId="0" applyFont="1" applyAlignment="1">
      <alignment vertical="center" wrapText="1"/>
    </xf>
    <xf numFmtId="0" fontId="14" fillId="0" borderId="0" xfId="0" applyFont="1" applyFill="1" applyBorder="1" applyAlignment="1">
      <alignment horizontal="left" vertical="center" wrapText="1" indent="1"/>
    </xf>
    <xf numFmtId="165" fontId="0" fillId="0" borderId="0" xfId="0" applyNumberFormat="1" applyAlignment="1">
      <alignment vertical="center" wrapText="1"/>
    </xf>
    <xf numFmtId="43" fontId="19" fillId="0" borderId="0" xfId="2" applyFont="1" applyAlignment="1">
      <alignment horizontal="center" vertical="center"/>
    </xf>
    <xf numFmtId="165" fontId="13" fillId="0" borderId="0" xfId="9" applyNumberFormat="1" applyFont="1" applyAlignment="1">
      <alignment horizontal="center" vertical="center" wrapText="1"/>
    </xf>
    <xf numFmtId="43" fontId="23" fillId="0" borderId="0" xfId="2" applyFont="1"/>
    <xf numFmtId="166" fontId="9" fillId="0" borderId="0" xfId="2" applyNumberFormat="1" applyFont="1" applyAlignment="1">
      <alignment vertical="center" wrapText="1"/>
    </xf>
    <xf numFmtId="0" fontId="14" fillId="0" borderId="0" xfId="0" applyFont="1" applyFill="1" applyAlignment="1">
      <alignment vertical="center" wrapText="1"/>
    </xf>
    <xf numFmtId="165" fontId="19" fillId="0" borderId="0" xfId="9" applyNumberFormat="1" applyFont="1" applyAlignment="1">
      <alignment horizontal="center"/>
    </xf>
    <xf numFmtId="164" fontId="0" fillId="0" borderId="0" xfId="0" applyNumberFormat="1" applyAlignment="1">
      <alignment vertical="center" wrapText="1"/>
    </xf>
    <xf numFmtId="165" fontId="19" fillId="0" borderId="0" xfId="9" applyNumberFormat="1" applyFont="1" applyAlignment="1">
      <alignment horizontal="center" vertical="center"/>
    </xf>
    <xf numFmtId="43" fontId="13" fillId="0" borderId="0" xfId="2" applyFont="1" applyAlignment="1">
      <alignment horizontal="center" vertical="center" wrapText="1"/>
    </xf>
    <xf numFmtId="9" fontId="19" fillId="0" borderId="0" xfId="9"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left" vertical="center" wrapText="1"/>
    </xf>
    <xf numFmtId="0" fontId="14" fillId="0" borderId="0" xfId="7" applyFont="1" applyAlignment="1">
      <alignment horizontal="center"/>
    </xf>
    <xf numFmtId="43" fontId="1" fillId="0" borderId="2" xfId="4" applyFont="1" applyBorder="1"/>
    <xf numFmtId="43" fontId="1" fillId="0" borderId="0" xfId="4" applyFont="1" applyProtection="1"/>
    <xf numFmtId="0" fontId="19" fillId="0" borderId="3" xfId="0" applyFont="1" applyBorder="1" applyAlignment="1">
      <alignment horizontal="center" vertical="center" wrapText="1"/>
    </xf>
    <xf numFmtId="0" fontId="0" fillId="0" borderId="15" xfId="0" applyBorder="1" applyAlignment="1">
      <alignment vertical="center" wrapText="1"/>
    </xf>
    <xf numFmtId="0" fontId="19" fillId="0" borderId="15" xfId="0" applyFont="1" applyBorder="1" applyAlignment="1">
      <alignment horizontal="center" vertical="center" wrapText="1"/>
    </xf>
    <xf numFmtId="0" fontId="0" fillId="0" borderId="0" xfId="0" applyBorder="1" applyAlignment="1">
      <alignment vertical="center" wrapText="1"/>
    </xf>
    <xf numFmtId="0" fontId="19" fillId="0" borderId="0" xfId="0" applyNumberFormat="1" applyFont="1" applyBorder="1" applyAlignment="1">
      <alignment horizontal="center" vertical="center" wrapText="1"/>
    </xf>
    <xf numFmtId="0" fontId="19" fillId="0" borderId="0" xfId="0" applyFont="1" applyBorder="1" applyAlignment="1">
      <alignment horizontal="center" vertical="center" wrapText="1"/>
    </xf>
    <xf numFmtId="0" fontId="10" fillId="0" borderId="0" xfId="8" applyFont="1"/>
    <xf numFmtId="0" fontId="29" fillId="0" borderId="0" xfId="8" applyFont="1"/>
    <xf numFmtId="0" fontId="30" fillId="5" borderId="16" xfId="0" applyFont="1" applyFill="1" applyBorder="1" applyAlignment="1">
      <alignment vertical="top" wrapText="1"/>
    </xf>
    <xf numFmtId="0" fontId="30" fillId="0" borderId="17" xfId="0" applyFont="1" applyBorder="1" applyAlignment="1">
      <alignment vertical="top" wrapText="1"/>
    </xf>
    <xf numFmtId="0" fontId="30" fillId="0" borderId="0" xfId="0" applyFont="1" applyAlignment="1">
      <alignment vertical="top" wrapText="1"/>
    </xf>
    <xf numFmtId="0" fontId="30" fillId="0" borderId="18" xfId="0" applyFont="1" applyBorder="1" applyAlignment="1">
      <alignment vertical="top" wrapText="1"/>
    </xf>
    <xf numFmtId="0" fontId="0" fillId="5" borderId="19" xfId="0" applyFill="1" applyBorder="1"/>
    <xf numFmtId="0" fontId="0" fillId="5" borderId="20" xfId="0" applyFill="1" applyBorder="1"/>
    <xf numFmtId="0" fontId="0" fillId="5" borderId="21" xfId="0" applyFill="1" applyBorder="1"/>
    <xf numFmtId="0" fontId="0" fillId="5" borderId="7" xfId="0" applyFill="1" applyBorder="1"/>
    <xf numFmtId="0" fontId="0" fillId="5" borderId="8" xfId="0" applyFill="1" applyBorder="1"/>
    <xf numFmtId="0" fontId="0" fillId="5" borderId="0" xfId="0" applyFill="1" applyBorder="1"/>
    <xf numFmtId="0" fontId="0" fillId="5" borderId="0" xfId="0" applyFill="1" applyBorder="1" applyAlignment="1">
      <alignment horizontal="justify" vertical="top" wrapText="1"/>
    </xf>
    <xf numFmtId="0" fontId="0" fillId="5" borderId="7" xfId="0" applyFill="1" applyBorder="1" applyAlignment="1">
      <alignment horizontal="justify" vertical="top" wrapText="1"/>
    </xf>
    <xf numFmtId="0" fontId="0" fillId="5" borderId="8" xfId="0" applyFill="1" applyBorder="1" applyAlignment="1">
      <alignment horizontal="justify" vertical="top" wrapText="1"/>
    </xf>
    <xf numFmtId="39" fontId="19" fillId="0" borderId="0" xfId="0" applyNumberFormat="1" applyFont="1" applyAlignment="1">
      <alignment horizontal="center" vertical="center" wrapText="1"/>
    </xf>
    <xf numFmtId="0" fontId="14" fillId="5" borderId="7" xfId="0" applyFont="1" applyFill="1" applyBorder="1" applyAlignment="1">
      <alignment horizontal="justify" vertical="top" wrapText="1"/>
    </xf>
    <xf numFmtId="0" fontId="14" fillId="5" borderId="0" xfId="0" applyFont="1" applyFill="1" applyBorder="1" applyAlignment="1">
      <alignment horizontal="justify" vertical="top" wrapText="1"/>
    </xf>
    <xf numFmtId="0" fontId="14" fillId="5" borderId="8" xfId="0" applyFont="1" applyFill="1" applyBorder="1" applyAlignment="1">
      <alignment horizontal="justify" vertical="top" wrapText="1"/>
    </xf>
    <xf numFmtId="0" fontId="0" fillId="5" borderId="7" xfId="0" applyFill="1" applyBorder="1" applyAlignment="1">
      <alignment horizontal="justify" vertical="top"/>
    </xf>
    <xf numFmtId="0" fontId="0" fillId="5" borderId="0" xfId="0" applyFill="1" applyBorder="1" applyAlignment="1">
      <alignment horizontal="justify" vertical="top"/>
    </xf>
    <xf numFmtId="0" fontId="0" fillId="5" borderId="8" xfId="0" applyFill="1" applyBorder="1" applyAlignment="1">
      <alignment horizontal="justify" vertical="top"/>
    </xf>
    <xf numFmtId="0" fontId="0" fillId="5" borderId="0" xfId="0" applyNumberFormat="1" applyFill="1" applyBorder="1" applyAlignment="1">
      <alignment horizontal="justify" vertical="top"/>
    </xf>
    <xf numFmtId="0" fontId="0" fillId="5" borderId="9" xfId="0" applyFill="1" applyBorder="1"/>
    <xf numFmtId="0" fontId="0" fillId="5" borderId="10" xfId="0" applyFill="1" applyBorder="1"/>
    <xf numFmtId="0" fontId="0" fillId="5" borderId="11" xfId="0" applyFill="1" applyBorder="1"/>
    <xf numFmtId="0" fontId="0" fillId="5" borderId="0" xfId="0" applyFill="1"/>
    <xf numFmtId="0" fontId="0" fillId="5" borderId="0" xfId="0" applyFill="1" applyAlignment="1">
      <alignment horizontal="justify" vertical="top" wrapText="1"/>
    </xf>
    <xf numFmtId="0" fontId="14" fillId="5" borderId="0" xfId="0" applyFont="1" applyFill="1" applyAlignment="1">
      <alignment horizontal="justify" vertical="top" wrapText="1"/>
    </xf>
    <xf numFmtId="0" fontId="0" fillId="5" borderId="0" xfId="0" applyFill="1" applyAlignment="1">
      <alignment horizontal="justify" vertical="top"/>
    </xf>
    <xf numFmtId="0" fontId="3" fillId="6" borderId="0" xfId="0" applyFont="1" applyFill="1" applyBorder="1" applyAlignment="1">
      <alignment horizontal="left" vertical="center" wrapText="1"/>
    </xf>
    <xf numFmtId="0" fontId="3" fillId="6" borderId="0" xfId="5" applyFont="1" applyFill="1" applyBorder="1" applyAlignment="1">
      <alignment horizontal="left" vertical="center" wrapText="1"/>
    </xf>
    <xf numFmtId="0" fontId="17" fillId="0" borderId="0" xfId="0" applyFont="1" applyAlignment="1">
      <alignment vertical="center" wrapText="1"/>
    </xf>
    <xf numFmtId="0" fontId="17" fillId="0" borderId="0" xfId="0" applyFont="1" applyFill="1" applyAlignment="1">
      <alignment vertical="center" wrapText="1"/>
    </xf>
    <xf numFmtId="0" fontId="3" fillId="7" borderId="0" xfId="5" applyFont="1" applyFill="1" applyAlignment="1">
      <alignment horizontal="left" vertical="center" wrapText="1" indent="1"/>
    </xf>
    <xf numFmtId="39" fontId="9" fillId="0" borderId="0" xfId="2" applyNumberFormat="1" applyFont="1" applyAlignment="1" applyProtection="1">
      <alignment horizontal="center" vertical="center" wrapText="1"/>
    </xf>
    <xf numFmtId="37" fontId="9" fillId="0" borderId="0" xfId="2" applyNumberFormat="1" applyFont="1" applyAlignment="1" applyProtection="1">
      <alignment horizontal="center" vertical="center" wrapText="1"/>
    </xf>
    <xf numFmtId="10" fontId="9" fillId="0" borderId="0" xfId="2" applyNumberFormat="1" applyFont="1" applyAlignment="1" applyProtection="1">
      <alignment horizontal="center" vertical="center" wrapText="1"/>
    </xf>
    <xf numFmtId="4" fontId="14" fillId="0" borderId="2" xfId="4" applyNumberFormat="1" applyFont="1" applyBorder="1" applyAlignment="1">
      <alignment horizontal="center"/>
    </xf>
    <xf numFmtId="4" fontId="9" fillId="0" borderId="0" xfId="2" applyNumberFormat="1" applyFont="1" applyAlignment="1" applyProtection="1">
      <alignment horizontal="center" vertical="center" wrapText="1"/>
    </xf>
    <xf numFmtId="10" fontId="13" fillId="0" borderId="0" xfId="0" applyNumberFormat="1" applyFont="1" applyAlignment="1">
      <alignment horizontal="center" vertical="center" wrapText="1"/>
    </xf>
    <xf numFmtId="4" fontId="23" fillId="0" borderId="0" xfId="0" applyNumberFormat="1" applyFont="1" applyAlignment="1">
      <alignment horizontal="center" vertical="center" wrapText="1"/>
    </xf>
    <xf numFmtId="4" fontId="14" fillId="0" borderId="0" xfId="4" applyNumberFormat="1" applyFont="1" applyAlignment="1" applyProtection="1">
      <alignment horizontal="center"/>
    </xf>
    <xf numFmtId="4" fontId="3" fillId="0" borderId="2" xfId="4" applyNumberFormat="1" applyFont="1" applyBorder="1" applyAlignment="1">
      <alignment horizontal="center"/>
    </xf>
    <xf numFmtId="4" fontId="9" fillId="0" borderId="3" xfId="2" applyNumberFormat="1" applyFont="1" applyBorder="1" applyAlignment="1" applyProtection="1">
      <alignment horizontal="center" vertical="center" wrapText="1"/>
    </xf>
    <xf numFmtId="0" fontId="0" fillId="6" borderId="22" xfId="0" applyFill="1" applyBorder="1" applyAlignment="1">
      <alignment vertical="center" wrapText="1"/>
    </xf>
    <xf numFmtId="0" fontId="0" fillId="6" borderId="23" xfId="0" applyFill="1" applyBorder="1" applyAlignment="1">
      <alignment vertical="center" wrapText="1"/>
    </xf>
    <xf numFmtId="39" fontId="9" fillId="0" borderId="0" xfId="0" applyNumberFormat="1" applyFont="1" applyAlignment="1">
      <alignment horizontal="center" vertical="center" wrapText="1"/>
    </xf>
    <xf numFmtId="37" fontId="9" fillId="0" borderId="0" xfId="0" applyNumberFormat="1" applyFont="1" applyAlignment="1">
      <alignment horizontal="center" vertical="center" wrapText="1"/>
    </xf>
    <xf numFmtId="10" fontId="13" fillId="0" borderId="0" xfId="2" applyNumberFormat="1" applyFont="1" applyAlignment="1">
      <alignment horizontal="center" vertical="center" wrapText="1"/>
    </xf>
    <xf numFmtId="4" fontId="19" fillId="0" borderId="0" xfId="0" applyNumberFormat="1" applyFont="1" applyAlignment="1">
      <alignment horizontal="center" vertical="center" wrapText="1"/>
    </xf>
    <xf numFmtId="4" fontId="19" fillId="0" borderId="3" xfId="0" applyNumberFormat="1" applyFont="1" applyBorder="1" applyAlignment="1">
      <alignment horizontal="center" vertical="center" wrapText="1"/>
    </xf>
    <xf numFmtId="0" fontId="9" fillId="3" borderId="0" xfId="0" applyFont="1" applyFill="1" applyAlignment="1">
      <alignment horizontal="center" vertical="center" wrapText="1"/>
    </xf>
    <xf numFmtId="0" fontId="13" fillId="3" borderId="0" xfId="0" applyFont="1" applyFill="1" applyAlignment="1">
      <alignment horizontal="right" vertical="center" wrapText="1"/>
    </xf>
    <xf numFmtId="0" fontId="13" fillId="3" borderId="0" xfId="0" applyFont="1" applyFill="1" applyAlignment="1">
      <alignment horizontal="center" vertical="center" wrapText="1"/>
    </xf>
    <xf numFmtId="0" fontId="9" fillId="3" borderId="0" xfId="0" applyFont="1" applyFill="1" applyAlignment="1">
      <alignment vertical="center" wrapText="1"/>
    </xf>
    <xf numFmtId="0" fontId="2" fillId="3" borderId="0" xfId="0" applyFont="1" applyFill="1" applyBorder="1" applyAlignment="1">
      <alignment horizontal="center" vertical="center"/>
    </xf>
    <xf numFmtId="0" fontId="2" fillId="0" borderId="0" xfId="0" applyFont="1" applyFill="1" applyBorder="1" applyAlignment="1">
      <alignment horizontal="center" vertical="center"/>
    </xf>
    <xf numFmtId="2" fontId="13" fillId="3" borderId="0" xfId="0" applyNumberFormat="1" applyFont="1" applyFill="1" applyAlignment="1">
      <alignment horizontal="center" vertical="center" wrapText="1"/>
    </xf>
    <xf numFmtId="0" fontId="3" fillId="3" borderId="0" xfId="0" applyFont="1" applyFill="1" applyAlignment="1">
      <alignment horizontal="right" vertical="center" wrapText="1"/>
    </xf>
    <xf numFmtId="2" fontId="3" fillId="3" borderId="0" xfId="0" applyNumberFormat="1" applyFont="1" applyFill="1" applyAlignment="1">
      <alignment horizontal="center" vertical="center" wrapText="1"/>
    </xf>
    <xf numFmtId="0" fontId="14" fillId="3" borderId="0" xfId="0" applyFont="1" applyFill="1" applyAlignment="1">
      <alignment horizontal="right" vertical="center" wrapText="1"/>
    </xf>
    <xf numFmtId="2" fontId="14" fillId="3" borderId="0" xfId="0" applyNumberFormat="1" applyFont="1" applyFill="1" applyAlignment="1">
      <alignment horizontal="center" vertical="center" wrapText="1"/>
    </xf>
    <xf numFmtId="0" fontId="2" fillId="0" borderId="0" xfId="0" applyFont="1" applyFill="1" applyAlignment="1">
      <alignment horizontal="right" vertical="top" wrapText="1"/>
    </xf>
    <xf numFmtId="0" fontId="10" fillId="0" borderId="0" xfId="0" applyFont="1" applyFill="1" applyAlignment="1">
      <alignment horizontal="left" vertical="top"/>
    </xf>
    <xf numFmtId="0" fontId="28" fillId="0" borderId="0" xfId="6" applyFont="1" applyBorder="1" applyAlignment="1">
      <alignment vertical="center"/>
    </xf>
    <xf numFmtId="0" fontId="28" fillId="0" borderId="0" xfId="6" applyFont="1" applyBorder="1" applyAlignment="1"/>
    <xf numFmtId="0" fontId="28" fillId="0" borderId="20" xfId="6" applyFont="1" applyBorder="1" applyAlignment="1"/>
    <xf numFmtId="0" fontId="3" fillId="0" borderId="0" xfId="6" applyFont="1"/>
    <xf numFmtId="0" fontId="29" fillId="0" borderId="0" xfId="6" applyFont="1" applyBorder="1" applyAlignment="1">
      <alignment horizontal="center" vertical="center"/>
    </xf>
    <xf numFmtId="0" fontId="29" fillId="0" borderId="0" xfId="6" applyFont="1" applyBorder="1" applyAlignment="1">
      <alignment vertical="center"/>
    </xf>
    <xf numFmtId="0" fontId="3" fillId="0" borderId="0" xfId="6" applyFont="1" applyBorder="1"/>
    <xf numFmtId="0" fontId="33" fillId="0" borderId="0" xfId="0" applyFont="1" applyBorder="1" applyAlignment="1">
      <alignment vertical="center" wrapText="1"/>
    </xf>
    <xf numFmtId="0" fontId="29" fillId="0" borderId="0" xfId="6" applyFont="1" applyBorder="1" applyAlignment="1">
      <alignment horizontal="right" vertical="center"/>
    </xf>
    <xf numFmtId="166" fontId="33" fillId="0" borderId="0" xfId="2" applyNumberFormat="1" applyFont="1" applyBorder="1" applyAlignment="1">
      <alignment horizontal="right" vertical="center" wrapText="1"/>
    </xf>
    <xf numFmtId="166" fontId="33" fillId="0" borderId="24" xfId="2" applyNumberFormat="1" applyFont="1" applyBorder="1" applyAlignment="1">
      <alignment horizontal="right" vertical="center" wrapText="1"/>
    </xf>
    <xf numFmtId="0" fontId="3" fillId="0" borderId="0" xfId="6" applyFont="1" applyAlignment="1">
      <alignment horizontal="right"/>
    </xf>
    <xf numFmtId="39" fontId="9" fillId="0" borderId="0" xfId="2" applyNumberFormat="1" applyFont="1" applyFill="1" applyAlignment="1" applyProtection="1">
      <alignment horizontal="center" vertical="center" wrapText="1"/>
    </xf>
    <xf numFmtId="0" fontId="34" fillId="0" borderId="0" xfId="0" applyFont="1" applyBorder="1" applyAlignment="1">
      <alignment horizontal="center" vertical="center" wrapText="1"/>
    </xf>
    <xf numFmtId="0" fontId="37" fillId="0" borderId="0" xfId="6" applyFont="1" applyBorder="1" applyAlignment="1"/>
    <xf numFmtId="0" fontId="37" fillId="0" borderId="20" xfId="6" applyFont="1" applyBorder="1" applyAlignment="1"/>
    <xf numFmtId="0" fontId="10" fillId="0" borderId="0" xfId="8" applyFont="1" applyAlignment="1">
      <alignment vertical="top"/>
    </xf>
    <xf numFmtId="10" fontId="10" fillId="0" borderId="0" xfId="8" applyNumberFormat="1" applyFont="1" applyAlignment="1">
      <alignment vertical="top"/>
    </xf>
    <xf numFmtId="43" fontId="10" fillId="0" borderId="0" xfId="8" applyNumberFormat="1" applyFont="1" applyAlignment="1">
      <alignment vertical="top"/>
    </xf>
    <xf numFmtId="9" fontId="10" fillId="0" borderId="0" xfId="8" applyNumberFormat="1" applyFont="1" applyAlignment="1">
      <alignment vertical="top"/>
    </xf>
    <xf numFmtId="0" fontId="1" fillId="0" borderId="0" xfId="6"/>
    <xf numFmtId="0" fontId="1" fillId="0" borderId="0" xfId="6" applyBorder="1"/>
    <xf numFmtId="0" fontId="39" fillId="0" borderId="0" xfId="6" applyFont="1" applyBorder="1" applyAlignment="1">
      <alignment horizontal="center" vertical="center" wrapText="1"/>
    </xf>
    <xf numFmtId="0" fontId="39" fillId="0" borderId="0" xfId="6" applyFont="1" applyBorder="1" applyAlignment="1">
      <alignment horizontal="center" vertical="center"/>
    </xf>
    <xf numFmtId="0" fontId="39" fillId="0" borderId="0" xfId="6" applyFont="1" applyBorder="1"/>
    <xf numFmtId="0" fontId="39" fillId="0" borderId="2" xfId="6" applyFont="1" applyBorder="1"/>
    <xf numFmtId="167" fontId="39" fillId="0" borderId="2" xfId="6" applyNumberFormat="1" applyFont="1" applyBorder="1"/>
    <xf numFmtId="0" fontId="40" fillId="0" borderId="0" xfId="0" applyFont="1" applyBorder="1" applyAlignment="1">
      <alignment vertical="center" wrapText="1"/>
    </xf>
    <xf numFmtId="166" fontId="40" fillId="0" borderId="0" xfId="2" applyNumberFormat="1" applyFont="1" applyBorder="1" applyAlignment="1">
      <alignment vertical="center" wrapText="1"/>
    </xf>
    <xf numFmtId="2" fontId="1" fillId="0" borderId="0" xfId="6" applyNumberFormat="1" applyBorder="1"/>
    <xf numFmtId="0" fontId="41" fillId="0" borderId="0" xfId="6" applyFont="1" applyBorder="1"/>
    <xf numFmtId="43" fontId="40" fillId="0" borderId="0" xfId="3" applyFont="1" applyBorder="1"/>
    <xf numFmtId="0" fontId="39" fillId="0" borderId="24" xfId="6" applyFont="1" applyBorder="1" applyAlignment="1">
      <alignment horizontal="center" vertical="center" wrapText="1"/>
    </xf>
    <xf numFmtId="0" fontId="41" fillId="0" borderId="0" xfId="6" applyFont="1"/>
    <xf numFmtId="0" fontId="9" fillId="0" borderId="0" xfId="0" applyFont="1" applyFill="1" applyAlignment="1" applyProtection="1">
      <alignment vertical="center" wrapText="1"/>
    </xf>
    <xf numFmtId="0" fontId="13" fillId="0" borderId="0" xfId="0" applyFont="1" applyFill="1" applyAlignment="1" applyProtection="1">
      <alignment horizontal="center" vertical="center" wrapText="1"/>
    </xf>
    <xf numFmtId="0" fontId="14" fillId="5" borderId="0" xfId="0" applyFont="1" applyFill="1" applyBorder="1" applyAlignment="1">
      <alignment horizontal="justify" vertical="top"/>
    </xf>
    <xf numFmtId="0" fontId="25" fillId="6" borderId="25" xfId="0" applyFont="1" applyFill="1" applyBorder="1" applyAlignment="1">
      <alignment horizontal="center"/>
    </xf>
    <xf numFmtId="0" fontId="25" fillId="6" borderId="15" xfId="0" applyFont="1" applyFill="1" applyBorder="1" applyAlignment="1">
      <alignment horizontal="center"/>
    </xf>
    <xf numFmtId="0" fontId="25" fillId="6" borderId="26" xfId="0" applyFont="1" applyFill="1" applyBorder="1" applyAlignment="1">
      <alignment horizontal="center"/>
    </xf>
    <xf numFmtId="0" fontId="25" fillId="6" borderId="27" xfId="0" applyFont="1" applyFill="1" applyBorder="1" applyAlignment="1">
      <alignment horizontal="center"/>
    </xf>
    <xf numFmtId="0" fontId="25" fillId="6" borderId="3" xfId="0" applyFont="1" applyFill="1" applyBorder="1" applyAlignment="1">
      <alignment horizontal="center"/>
    </xf>
    <xf numFmtId="0" fontId="25" fillId="6" borderId="28" xfId="0" applyFont="1" applyFill="1" applyBorder="1" applyAlignment="1">
      <alignment horizontal="center"/>
    </xf>
    <xf numFmtId="0" fontId="32" fillId="5" borderId="0" xfId="0" applyFont="1" applyFill="1" applyBorder="1" applyAlignment="1">
      <alignment horizontal="center"/>
    </xf>
    <xf numFmtId="0" fontId="0" fillId="5" borderId="0" xfId="0" applyFill="1" applyBorder="1" applyAlignment="1">
      <alignment horizontal="justify" vertical="top"/>
    </xf>
    <xf numFmtId="0" fontId="0" fillId="5" borderId="0" xfId="0" applyFill="1" applyBorder="1" applyAlignment="1">
      <alignment horizontal="justify" vertical="top" wrapText="1"/>
    </xf>
    <xf numFmtId="0" fontId="2" fillId="0" borderId="0" xfId="0" applyFont="1" applyAlignment="1">
      <alignment horizontal="center"/>
    </xf>
    <xf numFmtId="0" fontId="6" fillId="0" borderId="0" xfId="0" applyFont="1" applyAlignment="1">
      <alignment horizontal="center"/>
    </xf>
    <xf numFmtId="0" fontId="22" fillId="3" borderId="15" xfId="7" applyFont="1" applyFill="1" applyBorder="1" applyAlignment="1">
      <alignment horizontal="center" vertical="center"/>
    </xf>
    <xf numFmtId="0" fontId="22" fillId="3" borderId="0" xfId="7" applyFont="1" applyFill="1" applyBorder="1" applyAlignment="1">
      <alignment horizontal="center" vertical="center"/>
    </xf>
    <xf numFmtId="0" fontId="6" fillId="0" borderId="0" xfId="0" applyFont="1" applyAlignment="1">
      <alignment horizontal="left"/>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17" fillId="4" borderId="0" xfId="0" applyFont="1" applyFill="1" applyAlignment="1">
      <alignment horizontal="left"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28" fillId="0" borderId="0" xfId="6" applyFont="1" applyBorder="1" applyAlignment="1">
      <alignment horizontal="center" vertical="center"/>
    </xf>
    <xf numFmtId="0" fontId="29" fillId="0" borderId="0" xfId="6" applyFont="1" applyBorder="1" applyAlignment="1">
      <alignment horizontal="center" vertical="center"/>
    </xf>
    <xf numFmtId="0" fontId="25" fillId="0" borderId="0" xfId="6" applyFont="1" applyBorder="1" applyAlignment="1">
      <alignment horizontal="center" vertical="center"/>
    </xf>
    <xf numFmtId="0" fontId="36" fillId="0" borderId="0" xfId="6" applyFont="1" applyBorder="1" applyAlignment="1">
      <alignment horizontal="center" vertical="center"/>
    </xf>
    <xf numFmtId="0" fontId="38" fillId="0" borderId="0" xfId="6" applyFont="1" applyBorder="1" applyAlignment="1">
      <alignment horizontal="center" vertical="center"/>
    </xf>
    <xf numFmtId="0" fontId="28" fillId="0" borderId="24" xfId="8" applyFont="1" applyBorder="1" applyAlignment="1">
      <alignment horizontal="center"/>
    </xf>
  </cellXfs>
  <cellStyles count="10">
    <cellStyle name="Hipervínculo" xfId="1" builtinId="8"/>
    <cellStyle name="Millares" xfId="2" builtinId="3"/>
    <cellStyle name="Millares 2" xfId="3"/>
    <cellStyle name="Millares_IGI version Final.ponderada" xfId="4"/>
    <cellStyle name="Normal" xfId="0" builtinId="0"/>
    <cellStyle name="Normal 2" xfId="5"/>
    <cellStyle name="Normal 4" xfId="6"/>
    <cellStyle name="Normal_IGI version Final.ponderada" xfId="7"/>
    <cellStyle name="Normal_IGI version_ponderada_Carlos" xfId="8"/>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gtmetrix.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536"/>
  <sheetViews>
    <sheetView tabSelected="1" view="pageBreakPreview" topLeftCell="A43" zoomScale="145" zoomScaleNormal="110" zoomScaleSheetLayoutView="145" workbookViewId="0">
      <selection activeCell="IV4" sqref="IV4"/>
    </sheetView>
  </sheetViews>
  <sheetFormatPr baseColWidth="10" defaultColWidth="4.28515625" defaultRowHeight="12.75" x14ac:dyDescent="0.2"/>
  <cols>
    <col min="1" max="4" width="4.28515625" customWidth="1"/>
    <col min="5" max="5" width="91.5703125" customWidth="1"/>
    <col min="6" max="6" width="4.28515625" customWidth="1"/>
    <col min="7" max="7" width="4.28515625" hidden="1" customWidth="1"/>
    <col min="8" max="255" width="0" hidden="1" customWidth="1"/>
  </cols>
  <sheetData>
    <row r="1" spans="1:256" ht="13.5" thickBot="1" x14ac:dyDescent="0.25">
      <c r="A1" s="177"/>
      <c r="B1" s="177"/>
      <c r="C1" s="177"/>
      <c r="D1" s="177"/>
      <c r="E1" s="177"/>
      <c r="F1" s="177"/>
      <c r="G1" s="177"/>
      <c r="IV1" s="177"/>
    </row>
    <row r="2" spans="1:256" x14ac:dyDescent="0.2">
      <c r="A2" s="177"/>
      <c r="B2" s="157"/>
      <c r="C2" s="158"/>
      <c r="D2" s="158"/>
      <c r="E2" s="158"/>
      <c r="F2" s="159"/>
      <c r="G2" s="177"/>
      <c r="IV2" s="177"/>
    </row>
    <row r="3" spans="1:256" ht="15.75" x14ac:dyDescent="0.25">
      <c r="A3" s="177"/>
      <c r="B3" s="160"/>
      <c r="C3" s="253" t="s">
        <v>253</v>
      </c>
      <c r="D3" s="254"/>
      <c r="E3" s="255"/>
      <c r="F3" s="161"/>
      <c r="G3" s="177"/>
      <c r="IV3" s="177"/>
    </row>
    <row r="4" spans="1:256" ht="15.75" x14ac:dyDescent="0.25">
      <c r="A4" s="177"/>
      <c r="B4" s="160"/>
      <c r="C4" s="256" t="s">
        <v>281</v>
      </c>
      <c r="D4" s="257"/>
      <c r="E4" s="258"/>
      <c r="F4" s="161"/>
      <c r="G4" s="177"/>
      <c r="IV4" s="177"/>
    </row>
    <row r="5" spans="1:256" x14ac:dyDescent="0.2">
      <c r="A5" s="177"/>
      <c r="B5" s="160"/>
      <c r="C5" s="162"/>
      <c r="D5" s="162"/>
      <c r="E5" s="162"/>
      <c r="F5" s="161"/>
      <c r="G5" s="177"/>
      <c r="IV5" s="177"/>
    </row>
    <row r="6" spans="1:256" x14ac:dyDescent="0.2">
      <c r="A6" s="177"/>
      <c r="B6" s="160"/>
      <c r="C6" s="259" t="s">
        <v>254</v>
      </c>
      <c r="D6" s="259"/>
      <c r="E6" s="259"/>
      <c r="F6" s="161"/>
      <c r="G6" s="177"/>
      <c r="IV6" s="177"/>
    </row>
    <row r="7" spans="1:256" x14ac:dyDescent="0.2">
      <c r="A7" s="177"/>
      <c r="B7" s="160"/>
      <c r="C7" s="162"/>
      <c r="D7" s="162"/>
      <c r="E7" s="162"/>
      <c r="F7" s="161"/>
      <c r="G7" s="177"/>
      <c r="IV7" s="177"/>
    </row>
    <row r="8" spans="1:256" ht="38.25" customHeight="1" x14ac:dyDescent="0.2">
      <c r="A8" s="177"/>
      <c r="B8" s="160"/>
      <c r="C8" s="261" t="s">
        <v>58</v>
      </c>
      <c r="D8" s="261"/>
      <c r="E8" s="261"/>
      <c r="F8" s="161"/>
      <c r="G8" s="177"/>
      <c r="IV8" s="177"/>
    </row>
    <row r="9" spans="1:256" x14ac:dyDescent="0.2">
      <c r="A9" s="177"/>
      <c r="B9" s="160"/>
      <c r="C9" s="162"/>
      <c r="D9" s="162"/>
      <c r="E9" s="162"/>
      <c r="F9" s="161"/>
      <c r="G9" s="177"/>
      <c r="IV9" s="177"/>
    </row>
    <row r="10" spans="1:256" ht="26.25" customHeight="1" x14ac:dyDescent="0.2">
      <c r="A10" s="177"/>
      <c r="B10" s="160"/>
      <c r="C10" s="261" t="s">
        <v>276</v>
      </c>
      <c r="D10" s="261"/>
      <c r="E10" s="261"/>
      <c r="F10" s="161"/>
      <c r="G10" s="177"/>
      <c r="IV10" s="177"/>
    </row>
    <row r="11" spans="1:256" x14ac:dyDescent="0.2">
      <c r="A11" s="178"/>
      <c r="B11" s="164"/>
      <c r="C11" s="163"/>
      <c r="D11" s="163"/>
      <c r="E11" s="163"/>
      <c r="F11" s="165"/>
      <c r="G11" s="178"/>
      <c r="IV11" s="178"/>
    </row>
    <row r="12" spans="1:256" x14ac:dyDescent="0.2">
      <c r="A12" s="177"/>
      <c r="B12" s="160"/>
      <c r="C12" s="261" t="s">
        <v>277</v>
      </c>
      <c r="D12" s="261"/>
      <c r="E12" s="261"/>
      <c r="F12" s="161"/>
      <c r="G12" s="177"/>
      <c r="IV12" s="177"/>
    </row>
    <row r="13" spans="1:256" x14ac:dyDescent="0.2">
      <c r="A13" s="178"/>
      <c r="B13" s="164"/>
      <c r="C13" s="163"/>
      <c r="D13" s="163"/>
      <c r="E13" s="163"/>
      <c r="F13" s="165"/>
      <c r="G13" s="178"/>
      <c r="IV13" s="178"/>
    </row>
    <row r="14" spans="1:256" x14ac:dyDescent="0.2">
      <c r="A14" s="179"/>
      <c r="B14" s="167"/>
      <c r="C14" s="168" t="s">
        <v>255</v>
      </c>
      <c r="D14" s="252" t="s">
        <v>282</v>
      </c>
      <c r="E14" s="252"/>
      <c r="F14" s="169"/>
      <c r="G14" s="179"/>
      <c r="IV14" s="179"/>
    </row>
    <row r="15" spans="1:256" x14ac:dyDescent="0.2">
      <c r="A15" s="178"/>
      <c r="B15" s="164"/>
      <c r="C15" s="163"/>
      <c r="D15" s="163"/>
      <c r="E15" s="163"/>
      <c r="F15" s="165"/>
      <c r="G15" s="178"/>
      <c r="IV15" s="178"/>
    </row>
    <row r="16" spans="1:256" x14ac:dyDescent="0.2">
      <c r="A16" s="180"/>
      <c r="B16" s="170"/>
      <c r="C16" s="171"/>
      <c r="D16" s="260" t="s">
        <v>278</v>
      </c>
      <c r="E16" s="260"/>
      <c r="F16" s="172"/>
      <c r="G16" s="180"/>
      <c r="IV16" s="180"/>
    </row>
    <row r="17" spans="1:256" x14ac:dyDescent="0.2">
      <c r="A17" s="177"/>
      <c r="B17" s="160"/>
      <c r="C17" s="162"/>
      <c r="D17" s="162"/>
      <c r="E17" s="162"/>
      <c r="F17" s="161"/>
      <c r="G17" s="177"/>
      <c r="IV17" s="177"/>
    </row>
    <row r="18" spans="1:256" x14ac:dyDescent="0.2">
      <c r="A18" s="180"/>
      <c r="B18" s="170"/>
      <c r="C18" s="171"/>
      <c r="D18" s="171" t="s">
        <v>258</v>
      </c>
      <c r="E18" s="171" t="s">
        <v>86</v>
      </c>
      <c r="F18" s="172"/>
      <c r="G18" s="180"/>
      <c r="IV18" s="180"/>
    </row>
    <row r="19" spans="1:256" x14ac:dyDescent="0.2">
      <c r="A19" s="180"/>
      <c r="B19" s="170"/>
      <c r="C19" s="171"/>
      <c r="D19" s="171" t="s">
        <v>259</v>
      </c>
      <c r="E19" s="171" t="s">
        <v>256</v>
      </c>
      <c r="F19" s="172"/>
      <c r="G19" s="180"/>
      <c r="IV19" s="180"/>
    </row>
    <row r="20" spans="1:256" x14ac:dyDescent="0.2">
      <c r="A20" s="177"/>
      <c r="B20" s="160"/>
      <c r="C20" s="162"/>
      <c r="D20" s="171" t="s">
        <v>260</v>
      </c>
      <c r="E20" s="171" t="s">
        <v>261</v>
      </c>
      <c r="F20" s="161"/>
      <c r="G20" s="177"/>
      <c r="IV20" s="177"/>
    </row>
    <row r="21" spans="1:256" x14ac:dyDescent="0.2">
      <c r="A21" s="177"/>
      <c r="B21" s="160"/>
      <c r="C21" s="162"/>
      <c r="D21" s="171" t="s">
        <v>262</v>
      </c>
      <c r="E21" s="171" t="s">
        <v>263</v>
      </c>
      <c r="F21" s="161"/>
      <c r="G21" s="177"/>
      <c r="IV21" s="177"/>
    </row>
    <row r="22" spans="1:256" x14ac:dyDescent="0.2">
      <c r="A22" s="177"/>
      <c r="B22" s="160"/>
      <c r="C22" s="162"/>
      <c r="D22" s="171" t="s">
        <v>264</v>
      </c>
      <c r="E22" s="171" t="s">
        <v>90</v>
      </c>
      <c r="F22" s="161"/>
      <c r="G22" s="177"/>
      <c r="IV22" s="177"/>
    </row>
    <row r="23" spans="1:256" x14ac:dyDescent="0.2">
      <c r="A23" s="177"/>
      <c r="B23" s="160"/>
      <c r="C23" s="162"/>
      <c r="D23" s="171" t="s">
        <v>265</v>
      </c>
      <c r="E23" s="171" t="s">
        <v>266</v>
      </c>
      <c r="F23" s="161"/>
      <c r="G23" s="177"/>
      <c r="IV23" s="177"/>
    </row>
    <row r="24" spans="1:256" x14ac:dyDescent="0.2">
      <c r="A24" s="177"/>
      <c r="B24" s="160"/>
      <c r="C24" s="162"/>
      <c r="D24" s="171" t="s">
        <v>267</v>
      </c>
      <c r="E24" s="171" t="s">
        <v>268</v>
      </c>
      <c r="F24" s="161"/>
      <c r="G24" s="177"/>
      <c r="IV24" s="177"/>
    </row>
    <row r="25" spans="1:256" x14ac:dyDescent="0.2">
      <c r="A25" s="177"/>
      <c r="B25" s="160"/>
      <c r="C25" s="162"/>
      <c r="D25" s="171" t="s">
        <v>269</v>
      </c>
      <c r="E25" s="171" t="s">
        <v>270</v>
      </c>
      <c r="F25" s="161"/>
      <c r="G25" s="177"/>
      <c r="IV25" s="177"/>
    </row>
    <row r="26" spans="1:256" x14ac:dyDescent="0.2">
      <c r="A26" s="177"/>
      <c r="B26" s="160"/>
      <c r="C26" s="162"/>
      <c r="D26" s="171" t="s">
        <v>271</v>
      </c>
      <c r="E26" s="171" t="s">
        <v>272</v>
      </c>
      <c r="F26" s="161"/>
      <c r="G26" s="177"/>
      <c r="IV26" s="177"/>
    </row>
    <row r="27" spans="1:256" x14ac:dyDescent="0.2">
      <c r="A27" s="177"/>
      <c r="B27" s="160"/>
      <c r="C27" s="162"/>
      <c r="D27" s="162"/>
      <c r="E27" s="162"/>
      <c r="F27" s="161"/>
      <c r="G27" s="177"/>
      <c r="IV27" s="177"/>
    </row>
    <row r="28" spans="1:256" ht="25.5" customHeight="1" x14ac:dyDescent="0.2">
      <c r="A28" s="177"/>
      <c r="B28" s="160"/>
      <c r="C28" s="162"/>
      <c r="D28" s="260" t="s">
        <v>279</v>
      </c>
      <c r="E28" s="260"/>
      <c r="F28" s="161"/>
      <c r="G28" s="177"/>
      <c r="IV28" s="177"/>
    </row>
    <row r="29" spans="1:256" x14ac:dyDescent="0.2">
      <c r="A29" s="177"/>
      <c r="B29" s="160"/>
      <c r="C29" s="162"/>
      <c r="D29" s="162"/>
      <c r="E29" s="162"/>
      <c r="F29" s="161"/>
      <c r="G29" s="177"/>
      <c r="IV29" s="177"/>
    </row>
    <row r="30" spans="1:256" x14ac:dyDescent="0.2">
      <c r="A30" s="177"/>
      <c r="B30" s="160"/>
      <c r="C30" s="162"/>
      <c r="D30" s="171" t="s">
        <v>258</v>
      </c>
      <c r="E30" s="171" t="s">
        <v>273</v>
      </c>
      <c r="F30" s="161"/>
      <c r="G30" s="177"/>
      <c r="IV30" s="177"/>
    </row>
    <row r="31" spans="1:256" ht="63.75" x14ac:dyDescent="0.2">
      <c r="A31" s="177"/>
      <c r="B31" s="160"/>
      <c r="C31" s="162"/>
      <c r="D31" s="171" t="s">
        <v>259</v>
      </c>
      <c r="E31" s="171" t="s">
        <v>274</v>
      </c>
      <c r="F31" s="161"/>
      <c r="G31" s="177"/>
      <c r="IV31" s="177"/>
    </row>
    <row r="32" spans="1:256" ht="76.5" x14ac:dyDescent="0.2">
      <c r="A32" s="177"/>
      <c r="B32" s="160"/>
      <c r="C32" s="162"/>
      <c r="D32" s="171" t="s">
        <v>260</v>
      </c>
      <c r="E32" s="171" t="s">
        <v>59</v>
      </c>
      <c r="F32" s="161"/>
      <c r="G32" s="177"/>
      <c r="IV32" s="177"/>
    </row>
    <row r="33" spans="1:256" x14ac:dyDescent="0.2">
      <c r="A33" s="177"/>
      <c r="B33" s="160"/>
      <c r="C33" s="162"/>
      <c r="D33" s="162"/>
      <c r="E33" s="162"/>
      <c r="F33" s="161"/>
      <c r="G33" s="177"/>
      <c r="IV33" s="177"/>
    </row>
    <row r="34" spans="1:256" x14ac:dyDescent="0.2">
      <c r="A34" s="177"/>
      <c r="B34" s="160"/>
      <c r="C34" s="162"/>
      <c r="D34" s="260" t="s">
        <v>275</v>
      </c>
      <c r="E34" s="260"/>
      <c r="F34" s="161"/>
      <c r="G34" s="177"/>
      <c r="IV34" s="177"/>
    </row>
    <row r="35" spans="1:256" x14ac:dyDescent="0.2">
      <c r="A35" s="177"/>
      <c r="B35" s="160"/>
      <c r="C35" s="162"/>
      <c r="D35" s="162"/>
      <c r="E35" s="162"/>
      <c r="F35" s="161"/>
      <c r="G35" s="177"/>
      <c r="IV35" s="177"/>
    </row>
    <row r="36" spans="1:256" ht="89.25" x14ac:dyDescent="0.2">
      <c r="A36" s="177"/>
      <c r="B36" s="160"/>
      <c r="C36" s="162"/>
      <c r="D36" s="171" t="s">
        <v>258</v>
      </c>
      <c r="E36" s="171" t="s">
        <v>62</v>
      </c>
      <c r="F36" s="161"/>
      <c r="G36" s="177"/>
      <c r="IV36" s="177"/>
    </row>
    <row r="37" spans="1:256" ht="63.75" x14ac:dyDescent="0.2">
      <c r="A37" s="177"/>
      <c r="B37" s="160"/>
      <c r="C37" s="162"/>
      <c r="D37" s="171" t="s">
        <v>259</v>
      </c>
      <c r="E37" s="171" t="s">
        <v>280</v>
      </c>
      <c r="F37" s="161"/>
      <c r="G37" s="177"/>
      <c r="IV37" s="177"/>
    </row>
    <row r="38" spans="1:256" x14ac:dyDescent="0.2">
      <c r="A38" s="177"/>
      <c r="B38" s="160"/>
      <c r="C38" s="162"/>
      <c r="D38" s="162"/>
      <c r="E38" s="162"/>
      <c r="F38" s="161"/>
      <c r="G38" s="177"/>
      <c r="IV38" s="177"/>
    </row>
    <row r="39" spans="1:256" x14ac:dyDescent="0.2">
      <c r="A39" s="179"/>
      <c r="B39" s="167"/>
      <c r="C39" s="168" t="s">
        <v>283</v>
      </c>
      <c r="D39" s="252" t="s">
        <v>284</v>
      </c>
      <c r="E39" s="252"/>
      <c r="F39" s="169"/>
      <c r="G39" s="179"/>
      <c r="IV39" s="179"/>
    </row>
    <row r="40" spans="1:256" x14ac:dyDescent="0.2">
      <c r="A40" s="177"/>
      <c r="B40" s="160"/>
      <c r="C40" s="162"/>
      <c r="D40" s="162"/>
      <c r="E40" s="162"/>
      <c r="F40" s="161"/>
      <c r="G40" s="177"/>
      <c r="IV40" s="177"/>
    </row>
    <row r="41" spans="1:256" ht="39" customHeight="1" x14ac:dyDescent="0.2">
      <c r="A41" s="177"/>
      <c r="B41" s="160"/>
      <c r="C41" s="162"/>
      <c r="D41" s="260" t="s">
        <v>285</v>
      </c>
      <c r="E41" s="260"/>
      <c r="F41" s="161"/>
      <c r="G41" s="177"/>
      <c r="IV41" s="177"/>
    </row>
    <row r="42" spans="1:256" x14ac:dyDescent="0.2">
      <c r="A42" s="177"/>
      <c r="B42" s="160"/>
      <c r="C42" s="162"/>
      <c r="D42" s="162"/>
      <c r="E42" s="162"/>
      <c r="F42" s="161"/>
      <c r="G42" s="177"/>
      <c r="IV42" s="177"/>
    </row>
    <row r="43" spans="1:256" x14ac:dyDescent="0.2">
      <c r="A43" s="177"/>
      <c r="B43" s="160"/>
      <c r="C43" s="259" t="s">
        <v>286</v>
      </c>
      <c r="D43" s="259"/>
      <c r="E43" s="259"/>
      <c r="F43" s="161"/>
      <c r="G43" s="177"/>
      <c r="IV43" s="177"/>
    </row>
    <row r="44" spans="1:256" x14ac:dyDescent="0.2">
      <c r="A44" s="177"/>
      <c r="B44" s="160"/>
      <c r="C44" s="162"/>
      <c r="D44" s="162"/>
      <c r="E44" s="162"/>
      <c r="F44" s="161"/>
      <c r="G44" s="177"/>
      <c r="IV44" s="177"/>
    </row>
    <row r="45" spans="1:256" x14ac:dyDescent="0.2">
      <c r="A45" s="180"/>
      <c r="B45" s="170"/>
      <c r="C45" s="171" t="s">
        <v>255</v>
      </c>
      <c r="D45" s="162" t="s">
        <v>287</v>
      </c>
      <c r="E45" s="162"/>
      <c r="F45" s="172"/>
      <c r="G45" s="180"/>
      <c r="IV45" s="180"/>
    </row>
    <row r="46" spans="1:256" x14ac:dyDescent="0.2">
      <c r="A46" s="180"/>
      <c r="B46" s="170"/>
      <c r="C46" s="171" t="s">
        <v>283</v>
      </c>
      <c r="D46" s="162" t="s">
        <v>288</v>
      </c>
      <c r="E46" s="162"/>
      <c r="F46" s="172"/>
      <c r="G46" s="180"/>
      <c r="IV46" s="180"/>
    </row>
    <row r="47" spans="1:256" x14ac:dyDescent="0.2">
      <c r="A47" s="180"/>
      <c r="B47" s="170"/>
      <c r="C47" s="171" t="s">
        <v>257</v>
      </c>
      <c r="D47" s="162" t="s">
        <v>289</v>
      </c>
      <c r="E47" s="162"/>
      <c r="F47" s="172"/>
      <c r="G47" s="180"/>
      <c r="IV47" s="180"/>
    </row>
    <row r="48" spans="1:256" x14ac:dyDescent="0.2">
      <c r="A48" s="180"/>
      <c r="B48" s="170"/>
      <c r="C48" s="171" t="s">
        <v>290</v>
      </c>
      <c r="D48" s="162" t="s">
        <v>292</v>
      </c>
      <c r="E48" s="162"/>
      <c r="F48" s="172"/>
      <c r="G48" s="180"/>
      <c r="IV48" s="180"/>
    </row>
    <row r="49" spans="1:256" x14ac:dyDescent="0.2">
      <c r="A49" s="180"/>
      <c r="B49" s="170"/>
      <c r="C49" s="171"/>
      <c r="D49" s="162" t="s">
        <v>258</v>
      </c>
      <c r="E49" s="173" t="s">
        <v>293</v>
      </c>
      <c r="F49" s="172"/>
      <c r="G49" s="180"/>
      <c r="IV49" s="180"/>
    </row>
    <row r="50" spans="1:256" ht="38.25" x14ac:dyDescent="0.2">
      <c r="A50" s="180"/>
      <c r="B50" s="170"/>
      <c r="C50" s="171"/>
      <c r="D50" s="171" t="s">
        <v>259</v>
      </c>
      <c r="E50" s="173" t="s">
        <v>294</v>
      </c>
      <c r="F50" s="172"/>
      <c r="G50" s="180"/>
      <c r="IV50" s="180"/>
    </row>
    <row r="51" spans="1:256" ht="25.5" x14ac:dyDescent="0.2">
      <c r="A51" s="180"/>
      <c r="B51" s="170"/>
      <c r="C51" s="171"/>
      <c r="D51" s="171" t="s">
        <v>260</v>
      </c>
      <c r="E51" s="171" t="s">
        <v>295</v>
      </c>
      <c r="F51" s="172"/>
      <c r="G51" s="180"/>
      <c r="IV51" s="180"/>
    </row>
    <row r="52" spans="1:256" ht="26.25" customHeight="1" x14ac:dyDescent="0.2">
      <c r="A52" s="180"/>
      <c r="B52" s="170"/>
      <c r="C52" s="171" t="s">
        <v>291</v>
      </c>
      <c r="D52" s="260" t="s">
        <v>296</v>
      </c>
      <c r="E52" s="260"/>
      <c r="F52" s="172"/>
      <c r="G52" s="180"/>
      <c r="IV52" s="180"/>
    </row>
    <row r="53" spans="1:256" x14ac:dyDescent="0.2">
      <c r="A53" s="180"/>
      <c r="B53" s="170"/>
      <c r="C53" s="171" t="s">
        <v>297</v>
      </c>
      <c r="D53" s="162" t="s">
        <v>298</v>
      </c>
      <c r="E53" s="162"/>
      <c r="F53" s="172"/>
      <c r="G53" s="180"/>
      <c r="IV53" s="180"/>
    </row>
    <row r="54" spans="1:256" ht="39.75" customHeight="1" x14ac:dyDescent="0.2">
      <c r="A54" s="180"/>
      <c r="B54" s="170"/>
      <c r="C54" s="171" t="s">
        <v>299</v>
      </c>
      <c r="D54" s="260" t="s">
        <v>135</v>
      </c>
      <c r="E54" s="260"/>
      <c r="F54" s="172"/>
      <c r="G54" s="180"/>
      <c r="IV54" s="180"/>
    </row>
    <row r="55" spans="1:256" ht="51" customHeight="1" x14ac:dyDescent="0.2">
      <c r="A55" s="180"/>
      <c r="B55" s="170"/>
      <c r="C55" s="171">
        <v>8</v>
      </c>
      <c r="D55" s="260" t="s">
        <v>300</v>
      </c>
      <c r="E55" s="260"/>
      <c r="F55" s="172"/>
      <c r="G55" s="180"/>
      <c r="IV55" s="180"/>
    </row>
    <row r="56" spans="1:256" x14ac:dyDescent="0.2">
      <c r="A56" s="177"/>
      <c r="B56" s="160"/>
      <c r="C56" s="162"/>
      <c r="D56" s="162"/>
      <c r="E56" s="162"/>
      <c r="F56" s="161"/>
      <c r="G56" s="177"/>
      <c r="IV56" s="177"/>
    </row>
    <row r="57" spans="1:256" x14ac:dyDescent="0.2">
      <c r="A57" s="177"/>
      <c r="B57" s="160"/>
      <c r="C57" s="259" t="s">
        <v>301</v>
      </c>
      <c r="D57" s="259"/>
      <c r="E57" s="259"/>
      <c r="F57" s="161"/>
      <c r="G57" s="177"/>
      <c r="IV57" s="177"/>
    </row>
    <row r="58" spans="1:256" ht="13.5" thickBot="1" x14ac:dyDescent="0.25">
      <c r="A58" s="177"/>
      <c r="B58" s="174"/>
      <c r="C58" s="175"/>
      <c r="D58" s="175"/>
      <c r="E58" s="175"/>
      <c r="F58" s="176"/>
      <c r="G58" s="177"/>
      <c r="IV58" s="177"/>
    </row>
    <row r="59" spans="1:256" hidden="1" x14ac:dyDescent="0.2">
      <c r="A59" s="177"/>
      <c r="B59" s="177"/>
      <c r="C59" s="177"/>
      <c r="D59" s="177"/>
      <c r="E59" s="177"/>
      <c r="F59" s="177"/>
      <c r="G59" s="177"/>
      <c r="IV59" s="177"/>
    </row>
    <row r="60" spans="1:256" hidden="1" x14ac:dyDescent="0.2"/>
    <row r="61" spans="1:256" hidden="1" x14ac:dyDescent="0.2"/>
    <row r="62" spans="1:256" hidden="1" x14ac:dyDescent="0.2"/>
    <row r="63" spans="1:256" hidden="1" x14ac:dyDescent="0.2"/>
    <row r="64" spans="1:25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spans="1:256" hidden="1" x14ac:dyDescent="0.2"/>
    <row r="65522" spans="1:256" hidden="1" x14ac:dyDescent="0.2"/>
    <row r="65523" spans="1:256" hidden="1" x14ac:dyDescent="0.2"/>
    <row r="65524" spans="1:256" hidden="1" x14ac:dyDescent="0.2"/>
    <row r="65525" spans="1:256" hidden="1" x14ac:dyDescent="0.2"/>
    <row r="65526" spans="1:256" hidden="1" x14ac:dyDescent="0.2"/>
    <row r="65527" spans="1:256" hidden="1" x14ac:dyDescent="0.2"/>
    <row r="65528" spans="1:256" hidden="1" x14ac:dyDescent="0.2"/>
    <row r="65529" spans="1:256" hidden="1" x14ac:dyDescent="0.2"/>
    <row r="65530" spans="1:256" hidden="1" x14ac:dyDescent="0.2"/>
    <row r="65531" spans="1:256" hidden="1" x14ac:dyDescent="0.2"/>
    <row r="65532" spans="1:256" hidden="1" x14ac:dyDescent="0.2"/>
    <row r="65533" spans="1:256" hidden="1" x14ac:dyDescent="0.2"/>
    <row r="65534" spans="1:256" hidden="1" x14ac:dyDescent="0.2">
      <c r="A65534" s="177"/>
      <c r="B65534" s="177"/>
      <c r="C65534" s="177"/>
      <c r="D65534" s="177"/>
      <c r="E65534" s="177"/>
      <c r="F65534" s="177"/>
      <c r="G65534" s="177"/>
      <c r="IV65534" s="177"/>
    </row>
    <row r="65535" spans="1:256" hidden="1" x14ac:dyDescent="0.2"/>
    <row r="65536" spans="1:256" x14ac:dyDescent="0.2">
      <c r="A65536" s="177"/>
      <c r="B65536" s="177"/>
      <c r="C65536" s="177"/>
      <c r="D65536" s="177"/>
      <c r="E65536" s="177"/>
      <c r="F65536" s="177"/>
      <c r="G65536" s="177"/>
      <c r="IV65536" s="177"/>
    </row>
  </sheetData>
  <sheetProtection password="D3B5" sheet="1" objects="1" scenarios="1"/>
  <mergeCells count="17">
    <mergeCell ref="C57:E57"/>
    <mergeCell ref="C43:E43"/>
    <mergeCell ref="D52:E52"/>
    <mergeCell ref="C8:E8"/>
    <mergeCell ref="C10:E10"/>
    <mergeCell ref="D54:E54"/>
    <mergeCell ref="D55:E55"/>
    <mergeCell ref="D16:E16"/>
    <mergeCell ref="D39:E39"/>
    <mergeCell ref="D41:E41"/>
    <mergeCell ref="D34:E34"/>
    <mergeCell ref="C12:E12"/>
    <mergeCell ref="D14:E14"/>
    <mergeCell ref="C3:E3"/>
    <mergeCell ref="C4:E4"/>
    <mergeCell ref="C6:E6"/>
    <mergeCell ref="D28:E28"/>
  </mergeCells>
  <phoneticPr fontId="31" type="noConversion"/>
  <pageMargins left="0.75" right="0.75" top="1" bottom="1" header="0" footer="0"/>
  <pageSetup scale="83" orientation="portrait" r:id="rId1"/>
  <headerFooter alignWithMargins="0"/>
  <rowBreaks count="1" manualBreakCount="1">
    <brk id="38" min="1" max="248"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AH179"/>
  <sheetViews>
    <sheetView view="pageBreakPreview" zoomScale="115" zoomScaleNormal="100" zoomScaleSheetLayoutView="115" workbookViewId="0">
      <selection activeCell="C113" sqref="C113"/>
    </sheetView>
  </sheetViews>
  <sheetFormatPr baseColWidth="10" defaultRowHeight="15" x14ac:dyDescent="0.2"/>
  <cols>
    <col min="1" max="1" width="6.7109375" style="2" customWidth="1"/>
    <col min="2" max="2" width="80" style="2" customWidth="1"/>
    <col min="3" max="3" width="29.85546875" style="65" customWidth="1"/>
    <col min="4" max="4" width="70.42578125" style="4" customWidth="1"/>
    <col min="5" max="7" width="87" style="2" customWidth="1"/>
    <col min="8" max="8" width="30.42578125" style="2" customWidth="1"/>
    <col min="9" max="9" width="11.42578125" style="2"/>
    <col min="10" max="10" width="30.7109375" style="2" customWidth="1"/>
    <col min="11" max="13" width="11.42578125" style="2"/>
    <col min="14" max="14" width="15" style="4" customWidth="1"/>
    <col min="15" max="15" width="20.85546875" style="4" customWidth="1"/>
    <col min="16" max="16" width="27.85546875" style="4" customWidth="1"/>
    <col min="17" max="17" width="37.140625" style="4" customWidth="1"/>
    <col min="18" max="18" width="14" style="4" customWidth="1"/>
    <col min="19" max="19" width="11.85546875" style="4" customWidth="1"/>
    <col min="20" max="20" width="11.42578125" style="4"/>
    <col min="21" max="21" width="14.7109375" style="4" customWidth="1"/>
    <col min="22" max="23" width="13.28515625" style="4" customWidth="1"/>
    <col min="24" max="24" width="15.85546875" style="4" customWidth="1"/>
    <col min="25" max="25" width="15.28515625" style="5" customWidth="1"/>
    <col min="26" max="26" width="13.85546875" style="5" customWidth="1"/>
    <col min="27" max="27" width="17" style="4" hidden="1" customWidth="1"/>
    <col min="28" max="28" width="11.42578125" style="5"/>
    <col min="29" max="29" width="13.28515625" style="5" customWidth="1"/>
    <col min="30" max="30" width="11.42578125" style="5"/>
    <col min="31" max="31" width="13.28515625" style="5" customWidth="1"/>
    <col min="32" max="32" width="11.42578125" style="5"/>
    <col min="33" max="33" width="19.140625" style="5" customWidth="1"/>
    <col min="34" max="34" width="11.42578125" style="5"/>
    <col min="35" max="35" width="31" style="2" customWidth="1"/>
    <col min="36" max="38" width="11.42578125" style="2"/>
    <col min="39" max="39" width="14.85546875" style="2" customWidth="1"/>
    <col min="40" max="16384" width="11.42578125" style="2"/>
  </cols>
  <sheetData>
    <row r="1" spans="1:34" x14ac:dyDescent="0.25">
      <c r="A1" s="262"/>
      <c r="B1" s="262"/>
      <c r="C1" s="262"/>
      <c r="D1" s="1"/>
    </row>
    <row r="2" spans="1:34" ht="20.25" x14ac:dyDescent="0.3">
      <c r="A2" s="263" t="s">
        <v>307</v>
      </c>
      <c r="B2" s="263"/>
      <c r="C2" s="263"/>
      <c r="P2" s="6"/>
      <c r="AA2" s="1" t="s">
        <v>318</v>
      </c>
    </row>
    <row r="3" spans="1:34" ht="15" customHeight="1" x14ac:dyDescent="0.2">
      <c r="A3" s="8"/>
      <c r="B3" s="9" t="s">
        <v>308</v>
      </c>
      <c r="C3" s="9"/>
      <c r="D3" s="10"/>
      <c r="V3" s="5"/>
      <c r="W3" s="7"/>
      <c r="X3" s="5"/>
      <c r="AA3" s="1" t="s">
        <v>392</v>
      </c>
      <c r="AE3" s="2"/>
      <c r="AF3" s="2"/>
      <c r="AG3" s="2"/>
      <c r="AH3" s="2"/>
    </row>
    <row r="4" spans="1:34" x14ac:dyDescent="0.2">
      <c r="A4" s="8"/>
      <c r="B4" s="11" t="s">
        <v>544</v>
      </c>
      <c r="C4" s="11"/>
      <c r="V4" s="5"/>
      <c r="W4" s="7"/>
      <c r="X4" s="5"/>
      <c r="AA4" s="1" t="s">
        <v>453</v>
      </c>
      <c r="AE4" s="2"/>
      <c r="AF4" s="2"/>
      <c r="AG4" s="2"/>
      <c r="AH4" s="2"/>
    </row>
    <row r="5" spans="1:34" x14ac:dyDescent="0.2">
      <c r="A5" s="8"/>
      <c r="B5" s="9" t="s">
        <v>309</v>
      </c>
      <c r="C5" s="9"/>
      <c r="D5" s="12"/>
      <c r="E5" s="8"/>
      <c r="F5" s="8"/>
      <c r="G5" s="8"/>
      <c r="H5" s="8"/>
      <c r="I5" s="8"/>
      <c r="J5" s="8"/>
      <c r="K5" s="8"/>
      <c r="L5" s="8"/>
      <c r="V5" s="5"/>
      <c r="W5" s="7"/>
      <c r="X5" s="5"/>
      <c r="AA5" s="1" t="s">
        <v>41</v>
      </c>
      <c r="AE5" s="2"/>
      <c r="AF5" s="2"/>
      <c r="AG5" s="2"/>
      <c r="AH5" s="2"/>
    </row>
    <row r="6" spans="1:34" x14ac:dyDescent="0.2">
      <c r="A6" s="8"/>
      <c r="B6" s="11" t="s">
        <v>74</v>
      </c>
      <c r="C6" s="9"/>
      <c r="D6" s="1"/>
      <c r="E6" s="8"/>
      <c r="F6" s="8"/>
      <c r="G6" s="8"/>
      <c r="H6" s="8"/>
      <c r="I6" s="8"/>
      <c r="J6" s="8"/>
      <c r="K6" s="8"/>
      <c r="L6" s="8"/>
      <c r="V6" s="14"/>
      <c r="W6" s="14"/>
      <c r="X6" s="5"/>
      <c r="AA6" s="1" t="s">
        <v>77</v>
      </c>
      <c r="AE6" s="2"/>
      <c r="AF6" s="2"/>
      <c r="AG6" s="2"/>
      <c r="AH6" s="2"/>
    </row>
    <row r="7" spans="1:34" x14ac:dyDescent="0.25">
      <c r="A7" s="8"/>
      <c r="B7" s="15" t="s">
        <v>311</v>
      </c>
      <c r="C7" s="15" t="s">
        <v>312</v>
      </c>
      <c r="D7" s="15" t="s">
        <v>313</v>
      </c>
      <c r="E7" s="15" t="s">
        <v>314</v>
      </c>
      <c r="F7" s="15" t="s">
        <v>0</v>
      </c>
      <c r="G7" s="15" t="s">
        <v>1</v>
      </c>
      <c r="H7" s="8"/>
      <c r="I7" s="8"/>
      <c r="J7" s="8"/>
      <c r="K7" s="8"/>
      <c r="L7" s="8"/>
      <c r="AA7" s="1"/>
    </row>
    <row r="8" spans="1:34" x14ac:dyDescent="0.2">
      <c r="A8" s="8"/>
      <c r="B8" s="8"/>
      <c r="C8" s="17"/>
      <c r="D8" s="1"/>
      <c r="E8" s="8"/>
      <c r="F8" s="8"/>
      <c r="G8" s="8"/>
      <c r="N8" s="18"/>
      <c r="R8" s="19"/>
      <c r="S8" s="19"/>
      <c r="T8" s="20"/>
      <c r="U8" s="20"/>
      <c r="V8" s="20"/>
      <c r="W8" s="20"/>
      <c r="AA8" s="1"/>
    </row>
    <row r="9" spans="1:34" x14ac:dyDescent="0.2">
      <c r="A9" s="8"/>
      <c r="B9" s="21" t="s">
        <v>315</v>
      </c>
      <c r="C9" s="17"/>
      <c r="D9" s="1"/>
      <c r="E9" s="8"/>
      <c r="F9" s="8"/>
      <c r="G9" s="8"/>
      <c r="N9" s="22"/>
      <c r="R9" s="1"/>
      <c r="S9" s="1"/>
      <c r="AA9" s="23" t="s">
        <v>316</v>
      </c>
    </row>
    <row r="10" spans="1:34" ht="51" x14ac:dyDescent="0.2">
      <c r="A10" s="13">
        <v>1</v>
      </c>
      <c r="B10" s="24" t="s">
        <v>317</v>
      </c>
      <c r="C10" s="25" t="s">
        <v>318</v>
      </c>
      <c r="D10" s="1" t="str">
        <f>IF(C10="SI",AA10,"")</f>
        <v>Declaración de misión, visión y valores institucionales</v>
      </c>
      <c r="E10" s="8" t="s">
        <v>557</v>
      </c>
      <c r="F10" s="8"/>
      <c r="G10" s="8"/>
      <c r="N10" s="22"/>
      <c r="R10" s="1"/>
      <c r="S10" s="1"/>
      <c r="AA10" s="26" t="s">
        <v>319</v>
      </c>
    </row>
    <row r="11" spans="1:34" ht="25.5" x14ac:dyDescent="0.2">
      <c r="A11" s="13">
        <v>2</v>
      </c>
      <c r="B11" s="27" t="s">
        <v>136</v>
      </c>
      <c r="C11" s="25" t="s">
        <v>318</v>
      </c>
      <c r="D11" s="1" t="str">
        <f t="shared" ref="D11:D16" si="0">IF(C11="SI",AA11," ")</f>
        <v>Plan estratégico vigente</v>
      </c>
      <c r="E11" s="8" t="s">
        <v>518</v>
      </c>
      <c r="F11" s="8"/>
      <c r="G11" s="8"/>
      <c r="N11" s="22"/>
      <c r="R11" s="1"/>
      <c r="S11" s="1"/>
      <c r="AA11" s="26" t="s">
        <v>321</v>
      </c>
    </row>
    <row r="12" spans="1:34" x14ac:dyDescent="0.2">
      <c r="A12" s="13">
        <v>3</v>
      </c>
      <c r="B12" s="27" t="s">
        <v>322</v>
      </c>
      <c r="C12" s="25" t="s">
        <v>318</v>
      </c>
      <c r="D12" s="19" t="str">
        <f t="shared" si="0"/>
        <v>Plan anual  vigente</v>
      </c>
      <c r="E12" s="28" t="s">
        <v>519</v>
      </c>
      <c r="F12" s="28"/>
      <c r="G12" s="28"/>
      <c r="H12" s="30"/>
      <c r="I12" s="30"/>
      <c r="J12" s="30"/>
      <c r="K12" s="30"/>
      <c r="L12" s="30"/>
      <c r="M12" s="30"/>
      <c r="N12" s="18"/>
      <c r="R12" s="19"/>
      <c r="S12" s="19"/>
      <c r="T12" s="20"/>
      <c r="U12" s="20"/>
      <c r="V12" s="20"/>
      <c r="W12" s="20"/>
      <c r="X12" s="20"/>
      <c r="Y12" s="31"/>
      <c r="Z12" s="31"/>
      <c r="AA12" s="32" t="s">
        <v>323</v>
      </c>
    </row>
    <row r="13" spans="1:34" ht="38.25" x14ac:dyDescent="0.2">
      <c r="A13" s="13">
        <v>4</v>
      </c>
      <c r="B13" s="27" t="s">
        <v>345</v>
      </c>
      <c r="C13" s="25" t="s">
        <v>318</v>
      </c>
      <c r="D13" s="19" t="str">
        <f t="shared" si="0"/>
        <v>Matriz Anual de Programación Institucional (MAPI)</v>
      </c>
      <c r="E13" s="250" t="s">
        <v>519</v>
      </c>
      <c r="F13" s="28"/>
      <c r="G13" s="28"/>
      <c r="H13" s="30"/>
      <c r="I13" s="30"/>
      <c r="J13" s="30"/>
      <c r="K13" s="30"/>
      <c r="L13" s="30"/>
      <c r="M13" s="30"/>
      <c r="N13" s="18"/>
      <c r="R13" s="19"/>
      <c r="S13" s="19"/>
      <c r="T13" s="20"/>
      <c r="U13" s="20"/>
      <c r="V13" s="20"/>
      <c r="W13" s="20"/>
      <c r="X13" s="20"/>
      <c r="Y13" s="31"/>
      <c r="Z13" s="31"/>
      <c r="AA13" s="32" t="s">
        <v>325</v>
      </c>
    </row>
    <row r="14" spans="1:34" ht="25.5" x14ac:dyDescent="0.2">
      <c r="A14" s="13">
        <v>5</v>
      </c>
      <c r="B14" s="33" t="s">
        <v>342</v>
      </c>
      <c r="C14" s="25" t="s">
        <v>318</v>
      </c>
      <c r="D14" s="1" t="str">
        <f t="shared" si="0"/>
        <v>Catálogo de Indicadores de gestión vigente</v>
      </c>
      <c r="E14" s="250" t="s">
        <v>519</v>
      </c>
      <c r="F14" s="28"/>
      <c r="G14" s="28"/>
      <c r="H14" s="30"/>
      <c r="I14" s="30"/>
      <c r="J14" s="30"/>
      <c r="K14" s="30"/>
      <c r="L14" s="30"/>
      <c r="M14" s="30"/>
      <c r="N14" s="18"/>
      <c r="R14" s="19"/>
      <c r="S14" s="19"/>
      <c r="T14" s="20"/>
      <c r="U14" s="20"/>
      <c r="V14" s="20"/>
      <c r="W14" s="20"/>
      <c r="X14" s="20"/>
      <c r="Y14" s="31"/>
      <c r="Z14" s="31"/>
      <c r="AA14" s="26" t="s">
        <v>327</v>
      </c>
    </row>
    <row r="15" spans="1:34" ht="51" x14ac:dyDescent="0.2">
      <c r="A15" s="13">
        <v>6</v>
      </c>
      <c r="B15" s="33" t="s">
        <v>343</v>
      </c>
      <c r="C15" s="25" t="s">
        <v>318</v>
      </c>
      <c r="D15" s="1" t="str">
        <f t="shared" si="0"/>
        <v>Memorado o comunicados respectivos</v>
      </c>
      <c r="E15" s="8" t="s">
        <v>545</v>
      </c>
      <c r="F15" s="8"/>
      <c r="G15" s="8"/>
      <c r="H15" s="8"/>
      <c r="I15" s="8"/>
      <c r="J15" s="8"/>
      <c r="K15" s="8"/>
      <c r="L15" s="8"/>
      <c r="AA15" s="26" t="s">
        <v>329</v>
      </c>
    </row>
    <row r="16" spans="1:34" ht="25.5" x14ac:dyDescent="0.2">
      <c r="A16" s="13">
        <v>7</v>
      </c>
      <c r="B16" s="19" t="s">
        <v>374</v>
      </c>
      <c r="C16" s="25" t="s">
        <v>318</v>
      </c>
      <c r="D16" s="1" t="str">
        <f t="shared" si="0"/>
        <v>Comprobante de capacitación o de asistencia a la misma</v>
      </c>
      <c r="E16" s="8"/>
      <c r="F16" s="8"/>
      <c r="G16" s="8"/>
      <c r="H16" s="8"/>
      <c r="I16" s="8"/>
      <c r="J16" s="8"/>
      <c r="K16" s="8"/>
      <c r="L16" s="8"/>
      <c r="AA16" s="26" t="s">
        <v>331</v>
      </c>
    </row>
    <row r="17" spans="1:27" x14ac:dyDescent="0.2">
      <c r="A17" s="8"/>
      <c r="B17" s="28"/>
      <c r="C17" s="25"/>
      <c r="D17" s="1"/>
      <c r="E17" s="28"/>
      <c r="F17" s="28"/>
      <c r="G17" s="28"/>
      <c r="H17" s="30"/>
      <c r="I17" s="30"/>
      <c r="J17" s="30"/>
      <c r="K17" s="30"/>
      <c r="L17" s="30"/>
      <c r="M17" s="30"/>
      <c r="N17" s="18"/>
      <c r="O17" s="19"/>
      <c r="P17" s="19"/>
      <c r="Q17" s="19"/>
      <c r="R17" s="19"/>
      <c r="S17" s="19"/>
      <c r="T17" s="20"/>
      <c r="U17" s="20"/>
      <c r="V17" s="20"/>
      <c r="W17" s="20"/>
      <c r="X17" s="31"/>
      <c r="Y17" s="31"/>
      <c r="Z17" s="31"/>
      <c r="AA17" s="1"/>
    </row>
    <row r="18" spans="1:27" ht="63.75" x14ac:dyDescent="0.2">
      <c r="A18" s="8"/>
      <c r="B18" s="21" t="s">
        <v>332</v>
      </c>
      <c r="C18" s="25" t="s">
        <v>127</v>
      </c>
      <c r="D18" s="1"/>
      <c r="E18" s="8"/>
      <c r="F18" s="8"/>
      <c r="G18" s="8"/>
      <c r="N18" s="18"/>
      <c r="O18" s="19"/>
      <c r="P18" s="19"/>
      <c r="Q18" s="19"/>
      <c r="R18" s="19"/>
      <c r="S18" s="19"/>
      <c r="T18" s="20"/>
      <c r="U18" s="20"/>
      <c r="V18" s="20"/>
      <c r="W18" s="20"/>
      <c r="X18" s="31"/>
      <c r="Y18" s="31"/>
      <c r="AA18" s="1"/>
    </row>
    <row r="19" spans="1:27" ht="25.5" x14ac:dyDescent="0.2">
      <c r="A19" s="34">
        <v>8</v>
      </c>
      <c r="B19" s="33" t="s">
        <v>488</v>
      </c>
      <c r="C19" s="25" t="s">
        <v>453</v>
      </c>
      <c r="D19" s="1" t="str">
        <f>IF(C19="SI",AA19," ")</f>
        <v xml:space="preserve"> </v>
      </c>
      <c r="E19" s="8"/>
      <c r="F19" s="8"/>
      <c r="G19" s="8"/>
      <c r="X19" s="31"/>
      <c r="Y19" s="31"/>
      <c r="AA19" s="26" t="s">
        <v>334</v>
      </c>
    </row>
    <row r="20" spans="1:27" ht="25.5" x14ac:dyDescent="0.2">
      <c r="A20" s="13">
        <v>9</v>
      </c>
      <c r="B20" s="33" t="s">
        <v>335</v>
      </c>
      <c r="C20" s="25"/>
      <c r="D20" s="33"/>
      <c r="E20" s="8"/>
      <c r="F20" s="8"/>
      <c r="G20" s="8"/>
      <c r="X20" s="31"/>
      <c r="Y20" s="31"/>
      <c r="AA20" s="1"/>
    </row>
    <row r="21" spans="1:27" x14ac:dyDescent="0.2">
      <c r="A21" s="8"/>
      <c r="B21" s="35" t="s">
        <v>336</v>
      </c>
      <c r="C21" s="25" t="s">
        <v>453</v>
      </c>
      <c r="D21" s="1" t="str">
        <f t="shared" ref="D21:D31" si="1">IF(C21="SI",AA21," ")</f>
        <v xml:space="preserve"> </v>
      </c>
      <c r="E21" s="8"/>
      <c r="F21" s="8"/>
      <c r="G21" s="8"/>
      <c r="X21" s="31"/>
      <c r="Y21" s="31"/>
      <c r="AA21" s="26" t="s">
        <v>337</v>
      </c>
    </row>
    <row r="22" spans="1:27" x14ac:dyDescent="0.2">
      <c r="A22" s="8"/>
      <c r="B22" s="35" t="s">
        <v>338</v>
      </c>
      <c r="C22" s="25" t="s">
        <v>453</v>
      </c>
      <c r="D22" s="1" t="str">
        <f t="shared" si="1"/>
        <v xml:space="preserve"> </v>
      </c>
      <c r="E22" s="8"/>
      <c r="F22" s="8"/>
      <c r="G22" s="8"/>
      <c r="AA22" s="26" t="s">
        <v>337</v>
      </c>
    </row>
    <row r="23" spans="1:27" x14ac:dyDescent="0.2">
      <c r="A23" s="8"/>
      <c r="B23" s="35" t="s">
        <v>339</v>
      </c>
      <c r="C23" s="25" t="s">
        <v>453</v>
      </c>
      <c r="D23" s="1" t="str">
        <f t="shared" si="1"/>
        <v xml:space="preserve"> </v>
      </c>
      <c r="E23" s="8"/>
      <c r="F23" s="8"/>
      <c r="G23" s="8"/>
      <c r="AA23" s="26" t="s">
        <v>337</v>
      </c>
    </row>
    <row r="24" spans="1:27" x14ac:dyDescent="0.2">
      <c r="A24" s="8"/>
      <c r="B24" s="35" t="s">
        <v>340</v>
      </c>
      <c r="C24" s="25" t="s">
        <v>453</v>
      </c>
      <c r="D24" s="1" t="str">
        <f t="shared" si="1"/>
        <v xml:space="preserve"> </v>
      </c>
      <c r="E24" s="8"/>
      <c r="F24" s="8"/>
      <c r="G24" s="8"/>
      <c r="AA24" s="26" t="s">
        <v>337</v>
      </c>
    </row>
    <row r="25" spans="1:27" ht="25.5" x14ac:dyDescent="0.2">
      <c r="A25" s="13">
        <v>10</v>
      </c>
      <c r="B25" s="33" t="s">
        <v>341</v>
      </c>
      <c r="C25" s="25" t="s">
        <v>453</v>
      </c>
      <c r="D25" s="1" t="str">
        <f t="shared" si="1"/>
        <v xml:space="preserve"> </v>
      </c>
      <c r="E25" s="8"/>
      <c r="F25" s="8"/>
      <c r="G25" s="8"/>
      <c r="AA25" s="26" t="s">
        <v>364</v>
      </c>
    </row>
    <row r="26" spans="1:27" ht="25.5" x14ac:dyDescent="0.2">
      <c r="A26" s="13">
        <v>11</v>
      </c>
      <c r="B26" s="33" t="s">
        <v>365</v>
      </c>
      <c r="C26" s="25" t="s">
        <v>453</v>
      </c>
      <c r="D26" s="1" t="str">
        <f t="shared" si="1"/>
        <v xml:space="preserve"> </v>
      </c>
      <c r="E26" s="8"/>
      <c r="F26" s="8"/>
      <c r="G26" s="8"/>
      <c r="AA26" s="26" t="s">
        <v>366</v>
      </c>
    </row>
    <row r="27" spans="1:27" ht="25.5" x14ac:dyDescent="0.2">
      <c r="A27" s="13">
        <v>12</v>
      </c>
      <c r="B27" s="33" t="s">
        <v>137</v>
      </c>
      <c r="C27" s="25" t="s">
        <v>453</v>
      </c>
      <c r="D27" s="1" t="str">
        <f t="shared" si="1"/>
        <v xml:space="preserve"> </v>
      </c>
      <c r="E27" s="8"/>
      <c r="F27" s="8"/>
      <c r="G27" s="8"/>
      <c r="AA27" s="26" t="s">
        <v>368</v>
      </c>
    </row>
    <row r="28" spans="1:27" ht="25.5" x14ac:dyDescent="0.2">
      <c r="A28" s="13">
        <v>13</v>
      </c>
      <c r="B28" s="19" t="s">
        <v>138</v>
      </c>
      <c r="C28" s="25" t="s">
        <v>453</v>
      </c>
      <c r="D28" s="1" t="str">
        <f t="shared" si="1"/>
        <v xml:space="preserve"> </v>
      </c>
      <c r="E28" s="8"/>
      <c r="F28" s="8"/>
      <c r="G28" s="8"/>
      <c r="H28" s="8"/>
      <c r="I28" s="8"/>
      <c r="J28" s="8"/>
      <c r="K28" s="8"/>
      <c r="L28" s="8"/>
      <c r="AA28" s="26" t="s">
        <v>331</v>
      </c>
    </row>
    <row r="29" spans="1:27" x14ac:dyDescent="0.2">
      <c r="A29" s="13">
        <v>14</v>
      </c>
      <c r="B29" s="36" t="s">
        <v>370</v>
      </c>
      <c r="C29" s="25" t="s">
        <v>453</v>
      </c>
      <c r="D29" s="1" t="str">
        <f t="shared" si="1"/>
        <v xml:space="preserve"> </v>
      </c>
      <c r="E29" s="8"/>
      <c r="F29" s="8"/>
      <c r="G29" s="8"/>
      <c r="H29" s="8"/>
      <c r="I29" s="8"/>
      <c r="J29" s="8"/>
      <c r="K29" s="8"/>
      <c r="L29" s="8"/>
      <c r="AA29" s="26" t="s">
        <v>371</v>
      </c>
    </row>
    <row r="30" spans="1:27" ht="38.25" x14ac:dyDescent="0.2">
      <c r="A30" s="13">
        <v>15</v>
      </c>
      <c r="B30" s="36" t="s">
        <v>372</v>
      </c>
      <c r="C30" s="25" t="s">
        <v>453</v>
      </c>
      <c r="D30" s="1" t="str">
        <f t="shared" si="1"/>
        <v xml:space="preserve"> </v>
      </c>
      <c r="E30" s="8"/>
      <c r="F30" s="8"/>
      <c r="G30" s="8"/>
      <c r="H30" s="8"/>
      <c r="I30" s="8"/>
      <c r="J30" s="8"/>
      <c r="K30" s="8"/>
      <c r="L30" s="8"/>
      <c r="AA30" s="26" t="s">
        <v>373</v>
      </c>
    </row>
    <row r="31" spans="1:27" ht="25.5" x14ac:dyDescent="0.2">
      <c r="A31" s="13">
        <v>16</v>
      </c>
      <c r="B31" s="36" t="s">
        <v>375</v>
      </c>
      <c r="C31" s="25" t="s">
        <v>453</v>
      </c>
      <c r="D31" s="1" t="str">
        <f t="shared" si="1"/>
        <v xml:space="preserve"> </v>
      </c>
      <c r="E31" s="8"/>
      <c r="F31" s="8"/>
      <c r="G31" s="8"/>
      <c r="H31" s="8"/>
      <c r="I31" s="8"/>
      <c r="J31" s="8"/>
      <c r="K31" s="8"/>
      <c r="L31" s="8"/>
      <c r="AA31" s="26" t="s">
        <v>376</v>
      </c>
    </row>
    <row r="32" spans="1:27" x14ac:dyDescent="0.2">
      <c r="A32" s="8"/>
      <c r="B32" s="8"/>
      <c r="C32" s="17"/>
      <c r="D32" s="1"/>
      <c r="E32" s="8"/>
      <c r="F32" s="8"/>
      <c r="G32" s="8"/>
      <c r="AA32" s="26"/>
    </row>
    <row r="33" spans="1:34" x14ac:dyDescent="0.2">
      <c r="A33" s="8"/>
      <c r="B33" s="21" t="s">
        <v>377</v>
      </c>
      <c r="C33" s="17"/>
      <c r="D33" s="1"/>
      <c r="E33" s="8"/>
      <c r="F33" s="8"/>
      <c r="G33" s="8"/>
      <c r="AA33" s="1"/>
    </row>
    <row r="34" spans="1:34" x14ac:dyDescent="0.2">
      <c r="A34" s="8"/>
      <c r="B34" s="183" t="s">
        <v>378</v>
      </c>
      <c r="C34" s="38"/>
      <c r="D34" s="1"/>
      <c r="E34" s="8"/>
      <c r="F34" s="8"/>
      <c r="G34" s="8"/>
      <c r="AA34" s="1"/>
    </row>
    <row r="35" spans="1:34" ht="38.25" x14ac:dyDescent="0.2">
      <c r="A35" s="13">
        <v>17</v>
      </c>
      <c r="B35" s="39" t="s">
        <v>346</v>
      </c>
      <c r="C35" s="25" t="s">
        <v>318</v>
      </c>
      <c r="D35" s="1" t="str">
        <f t="shared" ref="D35:D40" si="2">IF(C35="SI",AA35," ")</f>
        <v>Reglamento de organización y funcionamiento de la auditoría interna, o en su defecto Reglamento orgánico de la institución</v>
      </c>
      <c r="E35" s="8" t="s">
        <v>520</v>
      </c>
      <c r="F35" s="8"/>
      <c r="G35" s="8"/>
      <c r="AA35" s="26" t="s">
        <v>380</v>
      </c>
      <c r="AG35" s="2"/>
      <c r="AH35" s="2"/>
    </row>
    <row r="36" spans="1:34" ht="153" x14ac:dyDescent="0.2">
      <c r="A36" s="13">
        <v>18</v>
      </c>
      <c r="B36" s="39" t="s">
        <v>381</v>
      </c>
      <c r="C36" s="25" t="s">
        <v>392</v>
      </c>
      <c r="D36" s="1" t="str">
        <f t="shared" si="2"/>
        <v xml:space="preserve"> </v>
      </c>
      <c r="E36" s="8" t="s">
        <v>571</v>
      </c>
      <c r="F36" s="8"/>
      <c r="G36" s="8"/>
      <c r="AA36" s="26" t="s">
        <v>382</v>
      </c>
      <c r="AG36" s="2"/>
      <c r="AH36" s="2"/>
    </row>
    <row r="37" spans="1:34" ht="25.5" x14ac:dyDescent="0.2">
      <c r="A37" s="13">
        <v>19</v>
      </c>
      <c r="B37" s="39" t="s">
        <v>383</v>
      </c>
      <c r="C37" s="25" t="s">
        <v>318</v>
      </c>
      <c r="D37" s="1" t="str">
        <f t="shared" si="2"/>
        <v>Documentación de los mecanismos</v>
      </c>
      <c r="E37" s="8" t="s">
        <v>570</v>
      </c>
      <c r="F37" s="8"/>
      <c r="G37" s="8"/>
      <c r="AA37" s="26" t="s">
        <v>384</v>
      </c>
      <c r="AG37" s="2"/>
      <c r="AH37" s="2"/>
    </row>
    <row r="38" spans="1:34" ht="127.5" x14ac:dyDescent="0.2">
      <c r="A38" s="13">
        <v>20</v>
      </c>
      <c r="B38" s="39" t="s">
        <v>385</v>
      </c>
      <c r="C38" s="25" t="s">
        <v>318</v>
      </c>
      <c r="D38" s="1" t="str">
        <f t="shared" si="2"/>
        <v>Organigrama y reglamento orgánico actualizados</v>
      </c>
      <c r="E38" s="8" t="s">
        <v>572</v>
      </c>
      <c r="F38" s="8"/>
      <c r="G38" s="8"/>
      <c r="AA38" s="26" t="s">
        <v>386</v>
      </c>
      <c r="AG38" s="2"/>
      <c r="AH38" s="2"/>
    </row>
    <row r="39" spans="1:34" ht="25.5" x14ac:dyDescent="0.2">
      <c r="A39" s="13">
        <v>21</v>
      </c>
      <c r="B39" s="39" t="s">
        <v>139</v>
      </c>
      <c r="C39" s="25" t="s">
        <v>318</v>
      </c>
      <c r="D39" s="1" t="str">
        <f t="shared" si="2"/>
        <v>Manual de procesos u otra documentación atinente, emitido por la máxima autoridad</v>
      </c>
      <c r="E39" s="8" t="s">
        <v>551</v>
      </c>
      <c r="F39" s="8"/>
      <c r="G39" s="8"/>
      <c r="AA39" s="26" t="s">
        <v>388</v>
      </c>
      <c r="AG39" s="2"/>
      <c r="AH39" s="2"/>
    </row>
    <row r="40" spans="1:34" ht="38.25" x14ac:dyDescent="0.2">
      <c r="A40" s="13">
        <v>22</v>
      </c>
      <c r="B40" s="39" t="s">
        <v>140</v>
      </c>
      <c r="C40" s="25" t="s">
        <v>318</v>
      </c>
      <c r="D40" s="1" t="str">
        <f t="shared" si="2"/>
        <v>Manual de puestos</v>
      </c>
      <c r="E40" s="40" t="s">
        <v>552</v>
      </c>
      <c r="F40" s="40"/>
      <c r="G40" s="40"/>
      <c r="AA40" s="26" t="s">
        <v>390</v>
      </c>
      <c r="AG40" s="2"/>
      <c r="AH40" s="2"/>
    </row>
    <row r="41" spans="1:34" ht="38.25" x14ac:dyDescent="0.2">
      <c r="A41" s="13">
        <v>23</v>
      </c>
      <c r="B41" s="36" t="s">
        <v>391</v>
      </c>
      <c r="C41" s="25" t="s">
        <v>392</v>
      </c>
      <c r="D41" s="1" t="str">
        <f>IF(C41="SI",AA41," ")</f>
        <v xml:space="preserve"> </v>
      </c>
      <c r="E41" s="8"/>
      <c r="F41" s="8"/>
      <c r="G41" s="8"/>
      <c r="H41" s="8"/>
      <c r="I41" s="8"/>
      <c r="J41" s="8"/>
      <c r="K41" s="8"/>
      <c r="L41" s="8"/>
      <c r="AA41" s="26" t="s">
        <v>393</v>
      </c>
    </row>
    <row r="42" spans="1:34" ht="25.5" x14ac:dyDescent="0.2">
      <c r="A42" s="13">
        <v>24</v>
      </c>
      <c r="B42" s="36" t="s">
        <v>141</v>
      </c>
      <c r="C42" s="25" t="s">
        <v>318</v>
      </c>
      <c r="D42" s="1" t="str">
        <f>IF(C42="SI",AA42," ")</f>
        <v>Registros oficiales del porcentaje del personal evaluado en el año anterior</v>
      </c>
      <c r="E42" s="8" t="s">
        <v>521</v>
      </c>
      <c r="F42" s="8"/>
      <c r="G42" s="8"/>
      <c r="H42" s="8"/>
      <c r="I42" s="8"/>
      <c r="J42" s="8"/>
      <c r="K42" s="8"/>
      <c r="L42" s="8"/>
      <c r="AA42" s="26" t="s">
        <v>395</v>
      </c>
    </row>
    <row r="43" spans="1:34" x14ac:dyDescent="0.2">
      <c r="A43" s="8"/>
      <c r="B43" s="184" t="s">
        <v>396</v>
      </c>
      <c r="C43" s="38"/>
      <c r="D43" s="1"/>
      <c r="E43" s="8"/>
      <c r="F43" s="8"/>
      <c r="G43" s="8"/>
      <c r="AA43" s="26"/>
      <c r="AG43" s="2"/>
      <c r="AH43" s="2"/>
    </row>
    <row r="44" spans="1:34" ht="25.5" x14ac:dyDescent="0.2">
      <c r="A44" s="13">
        <v>25</v>
      </c>
      <c r="B44" s="39" t="s">
        <v>397</v>
      </c>
      <c r="C44" s="25" t="s">
        <v>318</v>
      </c>
      <c r="D44" s="1" t="str">
        <f>IF(C44="SI",AA44," ")</f>
        <v>Marco orientador del SEVRI emitido por el jerarca</v>
      </c>
      <c r="E44" s="8" t="s">
        <v>560</v>
      </c>
      <c r="F44" s="8"/>
      <c r="G44" s="8"/>
      <c r="AA44" s="26" t="s">
        <v>398</v>
      </c>
      <c r="AG44" s="2"/>
      <c r="AH44" s="2"/>
    </row>
    <row r="45" spans="1:34" ht="25.5" x14ac:dyDescent="0.2">
      <c r="A45" s="13">
        <v>26</v>
      </c>
      <c r="B45" s="39" t="s">
        <v>399</v>
      </c>
      <c r="C45" s="25" t="s">
        <v>318</v>
      </c>
      <c r="D45" s="1" t="str">
        <f>IF(C45="SI",AA45," ")</f>
        <v>Documentación del mecanismo</v>
      </c>
      <c r="E45" s="8" t="s">
        <v>561</v>
      </c>
      <c r="F45" s="8"/>
      <c r="G45" s="8"/>
      <c r="AA45" s="26" t="s">
        <v>400</v>
      </c>
      <c r="AG45" s="2"/>
      <c r="AH45" s="2"/>
    </row>
    <row r="46" spans="1:34" ht="38.25" x14ac:dyDescent="0.2">
      <c r="A46" s="13">
        <v>27</v>
      </c>
      <c r="B46" s="42" t="s">
        <v>401</v>
      </c>
      <c r="C46" s="25" t="s">
        <v>392</v>
      </c>
      <c r="D46" s="1" t="str">
        <f>IF(C46="SI",AA46," ")</f>
        <v xml:space="preserve"> </v>
      </c>
      <c r="E46" s="8"/>
      <c r="F46" s="8"/>
      <c r="G46" s="8"/>
      <c r="H46" s="8"/>
      <c r="I46" s="8"/>
      <c r="J46" s="8"/>
      <c r="K46" s="8"/>
      <c r="L46" s="8"/>
      <c r="AA46" s="26" t="s">
        <v>402</v>
      </c>
    </row>
    <row r="47" spans="1:34" x14ac:dyDescent="0.2">
      <c r="A47" s="8"/>
      <c r="B47" s="184" t="s">
        <v>403</v>
      </c>
      <c r="C47" s="38"/>
      <c r="D47" s="1"/>
      <c r="E47" s="8"/>
      <c r="F47" s="8"/>
      <c r="G47" s="8"/>
      <c r="AA47" s="1"/>
      <c r="AG47" s="2"/>
      <c r="AH47" s="2"/>
    </row>
    <row r="48" spans="1:34" ht="89.25" x14ac:dyDescent="0.2">
      <c r="A48" s="13">
        <v>28</v>
      </c>
      <c r="B48" s="39" t="s">
        <v>347</v>
      </c>
      <c r="C48" s="25" t="s">
        <v>318</v>
      </c>
      <c r="D48" s="1" t="str">
        <f>IF(C48="SI",AA48," ")</f>
        <v>Regulaciones atinentes</v>
      </c>
      <c r="E48" s="8" t="s">
        <v>562</v>
      </c>
      <c r="F48" s="8"/>
      <c r="G48" s="8"/>
      <c r="AA48" s="26" t="s">
        <v>405</v>
      </c>
      <c r="AG48" s="2"/>
      <c r="AH48" s="2"/>
    </row>
    <row r="49" spans="1:34" ht="25.5" x14ac:dyDescent="0.2">
      <c r="A49" s="13">
        <v>29</v>
      </c>
      <c r="B49" s="39" t="s">
        <v>406</v>
      </c>
      <c r="C49" s="25" t="s">
        <v>453</v>
      </c>
      <c r="D49" s="1" t="str">
        <f>IF(C49="SI",AA49," ")</f>
        <v xml:space="preserve"> </v>
      </c>
      <c r="E49" s="28"/>
      <c r="F49" s="28"/>
      <c r="G49" s="28"/>
      <c r="AA49" s="26" t="s">
        <v>407</v>
      </c>
      <c r="AG49" s="2"/>
      <c r="AH49" s="2"/>
    </row>
    <row r="50" spans="1:34" ht="51" x14ac:dyDescent="0.2">
      <c r="A50" s="13">
        <v>30</v>
      </c>
      <c r="B50" s="39" t="s">
        <v>408</v>
      </c>
      <c r="C50" s="25" t="s">
        <v>318</v>
      </c>
      <c r="D50" s="1" t="str">
        <f>IF(C50="SI",AA50," ")</f>
        <v>Normativa institucional sobre rendición de cauciones</v>
      </c>
      <c r="E50" s="8" t="s">
        <v>563</v>
      </c>
      <c r="F50" s="8"/>
      <c r="G50" s="8"/>
      <c r="AA50" s="26" t="s">
        <v>409</v>
      </c>
      <c r="AG50" s="2"/>
      <c r="AH50" s="2"/>
    </row>
    <row r="51" spans="1:34" ht="38.25" x14ac:dyDescent="0.2">
      <c r="A51" s="13">
        <v>31</v>
      </c>
      <c r="B51" s="39" t="s">
        <v>410</v>
      </c>
      <c r="C51" s="25" t="s">
        <v>318</v>
      </c>
      <c r="D51" s="1" t="str">
        <f>IF(C51="SI",AA51," ")</f>
        <v>Normativa institucional sobre informes de fin de gestión</v>
      </c>
      <c r="E51" s="8" t="s">
        <v>564</v>
      </c>
      <c r="F51" s="8"/>
      <c r="G51" s="8"/>
      <c r="AA51" s="26" t="s">
        <v>411</v>
      </c>
      <c r="AG51" s="2"/>
      <c r="AH51" s="2"/>
    </row>
    <row r="52" spans="1:34" x14ac:dyDescent="0.2">
      <c r="A52" s="8"/>
      <c r="B52" s="184" t="s">
        <v>57</v>
      </c>
      <c r="C52" s="38"/>
      <c r="D52" s="1"/>
      <c r="E52" s="8"/>
      <c r="F52" s="8"/>
      <c r="G52" s="8"/>
      <c r="AA52" s="1"/>
      <c r="AG52" s="2"/>
      <c r="AH52" s="2"/>
    </row>
    <row r="53" spans="1:34" x14ac:dyDescent="0.2">
      <c r="A53" s="13">
        <v>32</v>
      </c>
      <c r="B53" s="39" t="s">
        <v>413</v>
      </c>
      <c r="C53" s="25" t="s">
        <v>318</v>
      </c>
      <c r="D53" s="1" t="str">
        <f>IF(C53="SI",AA53," ")</f>
        <v>Plan estratégico de tecnologías de información</v>
      </c>
      <c r="E53" s="8"/>
      <c r="F53" s="8"/>
      <c r="G53" s="8"/>
      <c r="AA53" s="26" t="s">
        <v>414</v>
      </c>
      <c r="AG53" s="2"/>
      <c r="AH53" s="2"/>
    </row>
    <row r="54" spans="1:34" ht="38.25" x14ac:dyDescent="0.2">
      <c r="A54" s="13">
        <v>33</v>
      </c>
      <c r="B54" s="36" t="s">
        <v>415</v>
      </c>
      <c r="C54" s="25" t="s">
        <v>318</v>
      </c>
      <c r="D54" s="1" t="str">
        <f>IF(C54="SI",AA54," ")</f>
        <v>Acuerdo de designación u otra documentación probatoria</v>
      </c>
      <c r="E54" s="8"/>
      <c r="F54" s="8"/>
      <c r="G54" s="8"/>
      <c r="H54" s="8"/>
      <c r="I54" s="8"/>
      <c r="J54" s="8"/>
      <c r="K54" s="8"/>
      <c r="L54" s="8"/>
      <c r="AA54" s="26" t="s">
        <v>416</v>
      </c>
    </row>
    <row r="55" spans="1:34" ht="25.5" x14ac:dyDescent="0.2">
      <c r="A55" s="13">
        <v>34</v>
      </c>
      <c r="B55" s="36" t="s">
        <v>417</v>
      </c>
      <c r="C55" s="25" t="s">
        <v>318</v>
      </c>
      <c r="D55" s="1" t="str">
        <f>IF(C55="SI",AA55," ")</f>
        <v>Políticas de control de información u otra normativa atinente</v>
      </c>
      <c r="E55" s="8" t="s">
        <v>522</v>
      </c>
      <c r="F55" s="8"/>
      <c r="G55" s="8"/>
      <c r="H55" s="8"/>
      <c r="I55" s="8"/>
      <c r="J55" s="8"/>
      <c r="K55" s="8"/>
      <c r="L55" s="8"/>
      <c r="AA55" s="26" t="s">
        <v>418</v>
      </c>
    </row>
    <row r="56" spans="1:34" x14ac:dyDescent="0.2">
      <c r="A56" s="13"/>
      <c r="B56" s="183" t="s">
        <v>419</v>
      </c>
      <c r="C56" s="38"/>
      <c r="D56" s="1"/>
      <c r="E56" s="8"/>
      <c r="F56" s="8"/>
      <c r="G56" s="8"/>
      <c r="H56" s="8"/>
      <c r="I56" s="8"/>
      <c r="J56" s="8"/>
      <c r="K56" s="8"/>
      <c r="L56" s="8"/>
      <c r="AA56" s="43"/>
    </row>
    <row r="57" spans="1:34" ht="25.5" x14ac:dyDescent="0.2">
      <c r="A57" s="13">
        <v>35</v>
      </c>
      <c r="B57" s="36" t="s">
        <v>420</v>
      </c>
      <c r="C57" s="25" t="s">
        <v>392</v>
      </c>
      <c r="D57" s="1" t="str">
        <f>IF(C57="SI",AA57," ")</f>
        <v xml:space="preserve"> </v>
      </c>
      <c r="E57" s="8"/>
      <c r="F57" s="8"/>
      <c r="G57" s="8"/>
      <c r="H57" s="8"/>
      <c r="I57" s="8"/>
      <c r="J57" s="8"/>
      <c r="K57" s="8"/>
      <c r="L57" s="8"/>
      <c r="AA57" s="26" t="s">
        <v>421</v>
      </c>
    </row>
    <row r="58" spans="1:34" ht="38.25" x14ac:dyDescent="0.2">
      <c r="A58" s="13">
        <v>36</v>
      </c>
      <c r="B58" s="36" t="s">
        <v>344</v>
      </c>
      <c r="C58" s="25" t="s">
        <v>453</v>
      </c>
      <c r="D58" s="1" t="str">
        <f>IF(C58="SI",AA58," ")</f>
        <v xml:space="preserve"> </v>
      </c>
      <c r="E58" s="37"/>
      <c r="F58" s="37"/>
      <c r="G58" s="37"/>
      <c r="H58" s="8"/>
      <c r="I58" s="8"/>
      <c r="J58" s="8"/>
      <c r="K58" s="8"/>
      <c r="L58" s="8"/>
      <c r="AA58" s="26" t="s">
        <v>423</v>
      </c>
    </row>
    <row r="59" spans="1:34" ht="63.75" x14ac:dyDescent="0.2">
      <c r="A59" s="13">
        <v>37</v>
      </c>
      <c r="B59" s="36" t="s">
        <v>348</v>
      </c>
      <c r="C59" s="25" t="s">
        <v>318</v>
      </c>
      <c r="D59" s="1" t="str">
        <f>IF(C59="SI",AA59," ")</f>
        <v>Informe del estado de las disposiciones</v>
      </c>
      <c r="E59" s="8" t="s">
        <v>523</v>
      </c>
      <c r="F59" s="8"/>
      <c r="G59" s="8"/>
      <c r="H59" s="8"/>
      <c r="I59" s="8"/>
      <c r="J59" s="8"/>
      <c r="K59" s="8"/>
      <c r="L59" s="8"/>
      <c r="AA59" s="26" t="s">
        <v>425</v>
      </c>
    </row>
    <row r="60" spans="1:34" x14ac:dyDescent="0.2">
      <c r="A60" s="8"/>
      <c r="B60" s="28"/>
      <c r="C60" s="17"/>
      <c r="D60" s="1"/>
      <c r="E60" s="8"/>
      <c r="F60" s="8"/>
      <c r="G60" s="8"/>
      <c r="AA60" s="1"/>
    </row>
    <row r="61" spans="1:34" ht="63.75" x14ac:dyDescent="0.2">
      <c r="A61" s="8"/>
      <c r="B61" s="21" t="s">
        <v>426</v>
      </c>
      <c r="C61" s="25" t="s">
        <v>349</v>
      </c>
      <c r="D61" s="1"/>
      <c r="E61" s="8"/>
      <c r="F61" s="8"/>
      <c r="G61" s="8"/>
      <c r="AA61" s="1"/>
    </row>
    <row r="62" spans="1:34" ht="25.5" x14ac:dyDescent="0.2">
      <c r="A62" s="13">
        <v>38</v>
      </c>
      <c r="B62" s="39" t="s">
        <v>427</v>
      </c>
      <c r="C62" s="17"/>
      <c r="D62" s="1"/>
      <c r="E62" s="8"/>
      <c r="F62" s="8"/>
      <c r="G62" s="8"/>
    </row>
    <row r="63" spans="1:34" x14ac:dyDescent="0.2">
      <c r="A63" s="13"/>
      <c r="B63" s="44" t="s">
        <v>428</v>
      </c>
      <c r="C63" s="25" t="s">
        <v>318</v>
      </c>
      <c r="D63" s="1" t="str">
        <f t="shared" ref="D63:D70" si="3">IF(C63="SI",AA63," ")</f>
        <v>Normativa interna sobre planificación de contratación administrativa</v>
      </c>
      <c r="E63" s="8" t="s">
        <v>524</v>
      </c>
      <c r="F63" s="8"/>
      <c r="G63" s="8"/>
      <c r="AA63" s="26" t="s">
        <v>429</v>
      </c>
    </row>
    <row r="64" spans="1:34" ht="25.5" x14ac:dyDescent="0.2">
      <c r="A64" s="13"/>
      <c r="B64" s="44" t="s">
        <v>430</v>
      </c>
      <c r="C64" s="25" t="s">
        <v>318</v>
      </c>
      <c r="D64" s="1" t="str">
        <f t="shared" si="3"/>
        <v>Normativa interna sobre ejecución de procedimientos de contratación administrativa</v>
      </c>
      <c r="E64" s="40" t="s">
        <v>525</v>
      </c>
      <c r="F64" s="40"/>
      <c r="G64" s="40"/>
      <c r="AA64" s="26" t="s">
        <v>431</v>
      </c>
    </row>
    <row r="65" spans="1:27" ht="25.5" x14ac:dyDescent="0.2">
      <c r="A65" s="13"/>
      <c r="B65" s="44" t="s">
        <v>432</v>
      </c>
      <c r="C65" s="25" t="s">
        <v>318</v>
      </c>
      <c r="D65" s="1" t="str">
        <f t="shared" si="3"/>
        <v>Nomativa interna sobre aprobación interna de contratos</v>
      </c>
      <c r="E65" s="40" t="s">
        <v>526</v>
      </c>
      <c r="F65" s="40"/>
      <c r="G65" s="40"/>
      <c r="AA65" s="26" t="s">
        <v>433</v>
      </c>
    </row>
    <row r="66" spans="1:27" ht="38.25" x14ac:dyDescent="0.2">
      <c r="A66" s="13"/>
      <c r="B66" s="44" t="s">
        <v>434</v>
      </c>
      <c r="C66" s="25" t="s">
        <v>318</v>
      </c>
      <c r="D66" s="1" t="str">
        <f t="shared" si="3"/>
        <v>Normativa interna sobre control de contratos</v>
      </c>
      <c r="E66" s="40" t="s">
        <v>527</v>
      </c>
      <c r="F66" s="40"/>
      <c r="G66" s="40"/>
      <c r="AA66" s="26" t="s">
        <v>435</v>
      </c>
    </row>
    <row r="67" spans="1:27" ht="25.5" x14ac:dyDescent="0.2">
      <c r="A67" s="13">
        <v>39</v>
      </c>
      <c r="B67" s="39" t="s">
        <v>436</v>
      </c>
      <c r="C67" s="25" t="s">
        <v>318</v>
      </c>
      <c r="D67" s="1" t="str">
        <f t="shared" si="3"/>
        <v>Regulación interna sobre plazos máximos para las actividades del proceso de contratación administrativa</v>
      </c>
      <c r="E67" s="8" t="s">
        <v>528</v>
      </c>
      <c r="F67" s="8"/>
      <c r="G67" s="8"/>
      <c r="AA67" s="26" t="s">
        <v>437</v>
      </c>
    </row>
    <row r="68" spans="1:27" x14ac:dyDescent="0.2">
      <c r="A68" s="13">
        <v>40</v>
      </c>
      <c r="B68" s="39" t="s">
        <v>142</v>
      </c>
      <c r="C68" s="25" t="s">
        <v>318</v>
      </c>
      <c r="D68" s="1" t="str">
        <f t="shared" si="3"/>
        <v>Programa de Capacitación o similar</v>
      </c>
      <c r="E68" s="8" t="s">
        <v>529</v>
      </c>
      <c r="F68" s="8"/>
      <c r="G68" s="8"/>
      <c r="AA68" s="26" t="s">
        <v>439</v>
      </c>
    </row>
    <row r="69" spans="1:27" ht="25.5" x14ac:dyDescent="0.2">
      <c r="A69" s="13">
        <v>41</v>
      </c>
      <c r="B69" s="39" t="s">
        <v>440</v>
      </c>
      <c r="C69" s="25" t="s">
        <v>318</v>
      </c>
      <c r="D69" s="1" t="str">
        <f t="shared" si="3"/>
        <v>Documento descriptivo de la organización establecida para los procesos de contratación administrativa</v>
      </c>
      <c r="E69" s="8" t="s">
        <v>530</v>
      </c>
      <c r="F69" s="8"/>
      <c r="G69" s="8"/>
      <c r="AA69" s="26" t="s">
        <v>441</v>
      </c>
    </row>
    <row r="70" spans="1:27" ht="25.5" x14ac:dyDescent="0.2">
      <c r="A70" s="13">
        <v>42</v>
      </c>
      <c r="B70" s="39" t="s">
        <v>442</v>
      </c>
      <c r="C70" s="25" t="s">
        <v>318</v>
      </c>
      <c r="D70" s="1" t="str">
        <f t="shared" si="3"/>
        <v>Documentación de puestos o procesos, según corresponda</v>
      </c>
      <c r="E70" s="8" t="s">
        <v>531</v>
      </c>
      <c r="F70" s="8"/>
      <c r="G70" s="8"/>
      <c r="AA70" s="26" t="s">
        <v>443</v>
      </c>
    </row>
    <row r="71" spans="1:27" ht="25.5" x14ac:dyDescent="0.2">
      <c r="A71" s="13">
        <v>43</v>
      </c>
      <c r="B71" s="36" t="s">
        <v>444</v>
      </c>
      <c r="C71" s="25" t="s">
        <v>318</v>
      </c>
      <c r="D71" s="1" t="str">
        <f>IF(C71="SI",AA71," ")</f>
        <v>Plan de adquisiciones del año 2010</v>
      </c>
      <c r="E71" s="8" t="s">
        <v>532</v>
      </c>
      <c r="F71" s="8"/>
      <c r="G71" s="8"/>
      <c r="H71" s="8"/>
      <c r="I71" s="8"/>
      <c r="J71" s="8"/>
      <c r="K71" s="8"/>
      <c r="L71" s="8"/>
      <c r="AA71" s="26" t="s">
        <v>445</v>
      </c>
    </row>
    <row r="72" spans="1:27" x14ac:dyDescent="0.2">
      <c r="A72" s="13">
        <v>44</v>
      </c>
      <c r="B72" s="36" t="s">
        <v>446</v>
      </c>
      <c r="C72" s="25" t="s">
        <v>453</v>
      </c>
      <c r="D72" s="1" t="str">
        <f>IF(C72="SI",AA72," ")</f>
        <v xml:space="preserve"> </v>
      </c>
      <c r="E72" s="8" t="s">
        <v>554</v>
      </c>
      <c r="F72" s="8"/>
      <c r="G72" s="8"/>
      <c r="H72" s="8"/>
      <c r="I72" s="8"/>
      <c r="J72" s="8"/>
      <c r="K72" s="8"/>
      <c r="L72" s="8"/>
      <c r="AA72" s="26" t="s">
        <v>447</v>
      </c>
    </row>
    <row r="73" spans="1:27" ht="25.5" x14ac:dyDescent="0.2">
      <c r="A73" s="13">
        <v>45</v>
      </c>
      <c r="B73" s="36" t="s">
        <v>448</v>
      </c>
      <c r="C73" s="25" t="s">
        <v>318</v>
      </c>
      <c r="D73" s="1" t="str">
        <f>IF(C73="SI",AA73," ")</f>
        <v>Verificación en los sistemas de la CGR</v>
      </c>
      <c r="E73" s="8" t="s">
        <v>533</v>
      </c>
      <c r="F73" s="8"/>
      <c r="G73" s="8"/>
      <c r="H73" s="8"/>
      <c r="I73" s="8"/>
      <c r="J73" s="8"/>
      <c r="K73" s="8"/>
      <c r="L73" s="8"/>
      <c r="AA73" s="26" t="s">
        <v>449</v>
      </c>
    </row>
    <row r="74" spans="1:27" x14ac:dyDescent="0.2">
      <c r="A74" s="8"/>
      <c r="B74" s="8"/>
      <c r="C74" s="17"/>
      <c r="D74" s="1"/>
      <c r="E74" s="8"/>
      <c r="F74" s="8"/>
      <c r="G74" s="8"/>
      <c r="AA74" s="1"/>
    </row>
    <row r="75" spans="1:27" x14ac:dyDescent="0.2">
      <c r="A75" s="8"/>
      <c r="B75" s="21" t="s">
        <v>450</v>
      </c>
      <c r="C75" s="17"/>
      <c r="D75" s="1"/>
      <c r="E75" s="8"/>
      <c r="F75" s="8"/>
      <c r="G75" s="8"/>
      <c r="AA75" s="1"/>
    </row>
    <row r="76" spans="1:27" x14ac:dyDescent="0.2">
      <c r="A76" s="13">
        <v>46</v>
      </c>
      <c r="B76" s="33" t="s">
        <v>350</v>
      </c>
      <c r="C76" s="17"/>
      <c r="D76" s="1"/>
      <c r="E76" s="8"/>
      <c r="F76" s="8"/>
      <c r="G76" s="8"/>
      <c r="AA76" s="1"/>
    </row>
    <row r="77" spans="1:27" x14ac:dyDescent="0.2">
      <c r="A77" s="8"/>
      <c r="B77" s="35" t="s">
        <v>452</v>
      </c>
      <c r="C77" s="25" t="s">
        <v>318</v>
      </c>
      <c r="D77" s="1" t="str">
        <f t="shared" ref="D77:D86" si="4">IF(C77="SI",AA77," ")</f>
        <v>Documentación de mecanismos o regulaciones sobre el particular</v>
      </c>
      <c r="E77" s="8"/>
      <c r="F77" s="8"/>
      <c r="G77" s="8"/>
      <c r="AA77" s="26" t="s">
        <v>454</v>
      </c>
    </row>
    <row r="78" spans="1:27" ht="25.5" x14ac:dyDescent="0.2">
      <c r="A78" s="8"/>
      <c r="B78" s="35" t="s">
        <v>455</v>
      </c>
      <c r="C78" s="25" t="s">
        <v>318</v>
      </c>
      <c r="D78" s="1"/>
      <c r="E78" s="8"/>
      <c r="F78" s="8"/>
      <c r="G78" s="8"/>
      <c r="AA78" s="45" t="s">
        <v>456</v>
      </c>
    </row>
    <row r="79" spans="1:27" x14ac:dyDescent="0.2">
      <c r="A79" s="13">
        <v>47</v>
      </c>
      <c r="B79" s="33" t="s">
        <v>457</v>
      </c>
      <c r="C79" s="25" t="s">
        <v>318</v>
      </c>
      <c r="D79" s="1"/>
      <c r="E79" s="8"/>
      <c r="F79" s="8"/>
      <c r="G79" s="8"/>
      <c r="AA79" s="26" t="s">
        <v>458</v>
      </c>
    </row>
    <row r="80" spans="1:27" x14ac:dyDescent="0.2">
      <c r="A80" s="13">
        <v>48</v>
      </c>
      <c r="B80" s="33" t="s">
        <v>459</v>
      </c>
      <c r="C80" s="25" t="s">
        <v>318</v>
      </c>
      <c r="D80" s="1"/>
      <c r="E80" s="8"/>
      <c r="F80" s="8"/>
      <c r="G80" s="8"/>
      <c r="I80" s="8"/>
      <c r="J80" s="8"/>
      <c r="K80" s="8"/>
      <c r="L80" s="8"/>
      <c r="AA80" s="26" t="s">
        <v>460</v>
      </c>
    </row>
    <row r="81" spans="1:27" ht="25.5" x14ac:dyDescent="0.2">
      <c r="A81" s="13">
        <v>49</v>
      </c>
      <c r="B81" s="36" t="s">
        <v>125</v>
      </c>
      <c r="C81" s="25" t="s">
        <v>318</v>
      </c>
      <c r="D81" s="1" t="str">
        <f t="shared" si="4"/>
        <v>Acuerdo de Junta Directiva donde fue conocida o aprobada, o documento equivalente.</v>
      </c>
      <c r="E81" s="8"/>
      <c r="F81" s="8"/>
      <c r="G81" s="8"/>
      <c r="H81" s="8"/>
      <c r="I81" s="8"/>
      <c r="J81" s="8"/>
      <c r="K81" s="8"/>
      <c r="L81" s="8"/>
      <c r="AA81" s="26" t="s">
        <v>463</v>
      </c>
    </row>
    <row r="82" spans="1:27" ht="25.5" x14ac:dyDescent="0.2">
      <c r="A82" s="13">
        <v>50</v>
      </c>
      <c r="B82" s="36" t="s">
        <v>351</v>
      </c>
      <c r="C82" s="25" t="s">
        <v>453</v>
      </c>
      <c r="D82" s="1" t="str">
        <f t="shared" si="4"/>
        <v xml:space="preserve"> </v>
      </c>
      <c r="E82" s="1"/>
      <c r="F82" s="1"/>
      <c r="G82" s="1"/>
      <c r="H82" s="8"/>
      <c r="I82" s="8"/>
      <c r="J82" s="8"/>
      <c r="K82" s="8"/>
      <c r="L82" s="8"/>
      <c r="N82" s="46"/>
      <c r="O82" s="46"/>
      <c r="P82" s="46"/>
      <c r="Q82" s="46"/>
      <c r="R82" s="46"/>
      <c r="S82" s="46"/>
      <c r="T82" s="46"/>
      <c r="U82" s="46"/>
      <c r="V82" s="46"/>
      <c r="W82" s="46"/>
      <c r="X82" s="20"/>
      <c r="AA82" s="26" t="s">
        <v>465</v>
      </c>
    </row>
    <row r="83" spans="1:27" ht="51" x14ac:dyDescent="0.2">
      <c r="A83" s="13">
        <v>51</v>
      </c>
      <c r="B83" s="36" t="s">
        <v>352</v>
      </c>
      <c r="C83" s="25" t="s">
        <v>453</v>
      </c>
      <c r="D83" s="1" t="str">
        <f t="shared" si="4"/>
        <v xml:space="preserve"> </v>
      </c>
      <c r="H83" s="8"/>
      <c r="I83" s="8"/>
      <c r="J83" s="8"/>
      <c r="K83" s="8"/>
      <c r="L83" s="8"/>
      <c r="N83" s="46"/>
      <c r="O83" s="46"/>
      <c r="P83" s="46"/>
      <c r="Q83" s="46"/>
      <c r="R83" s="46"/>
      <c r="S83" s="46"/>
      <c r="T83" s="46"/>
      <c r="U83" s="46"/>
      <c r="V83" s="46"/>
      <c r="W83" s="46"/>
      <c r="AA83" s="26" t="s">
        <v>465</v>
      </c>
    </row>
    <row r="84" spans="1:27" x14ac:dyDescent="0.2">
      <c r="A84" s="13">
        <v>52</v>
      </c>
      <c r="B84" s="36" t="s">
        <v>467</v>
      </c>
      <c r="C84" s="25" t="s">
        <v>318</v>
      </c>
      <c r="D84" s="1" t="str">
        <f t="shared" si="4"/>
        <v>Mostrar últimos informes a Marzo y Septiembre</v>
      </c>
      <c r="E84" s="8"/>
      <c r="F84" s="8"/>
      <c r="G84" s="8"/>
      <c r="H84" s="8"/>
      <c r="I84" s="8"/>
      <c r="J84" s="8"/>
      <c r="K84" s="8"/>
      <c r="L84" s="8"/>
      <c r="N84" s="46"/>
      <c r="O84" s="47"/>
      <c r="P84" s="48"/>
      <c r="Q84" s="46"/>
      <c r="R84" s="46"/>
      <c r="S84" s="46"/>
      <c r="T84" s="46"/>
      <c r="U84" s="46"/>
      <c r="V84" s="46"/>
      <c r="W84" s="46"/>
      <c r="AA84" s="26" t="s">
        <v>468</v>
      </c>
    </row>
    <row r="85" spans="1:27" x14ac:dyDescent="0.2">
      <c r="A85" s="13">
        <v>53</v>
      </c>
      <c r="B85" s="36" t="s">
        <v>469</v>
      </c>
      <c r="C85" s="25" t="s">
        <v>318</v>
      </c>
      <c r="D85" s="1" t="str">
        <f t="shared" si="4"/>
        <v>Mostrar últimos dos informes</v>
      </c>
      <c r="E85" s="8"/>
      <c r="F85" s="8"/>
      <c r="G85" s="8"/>
      <c r="H85" s="8"/>
      <c r="I85" s="8"/>
      <c r="J85" s="8"/>
      <c r="K85" s="8"/>
      <c r="L85" s="8"/>
      <c r="N85" s="46"/>
      <c r="O85" s="47"/>
      <c r="P85" s="48"/>
      <c r="Q85" s="46"/>
      <c r="R85" s="46"/>
      <c r="S85" s="46"/>
      <c r="T85" s="46"/>
      <c r="U85" s="46"/>
      <c r="V85" s="46"/>
      <c r="W85" s="46"/>
      <c r="AA85" s="26" t="s">
        <v>470</v>
      </c>
    </row>
    <row r="86" spans="1:27" ht="25.5" x14ac:dyDescent="0.2">
      <c r="A86" s="13">
        <v>54</v>
      </c>
      <c r="B86" s="36" t="s">
        <v>471</v>
      </c>
      <c r="C86" s="251" t="s">
        <v>318</v>
      </c>
      <c r="D86" s="1" t="str">
        <f t="shared" si="4"/>
        <v>Documento que respalde la aprobación</v>
      </c>
      <c r="E86" s="8" t="s">
        <v>553</v>
      </c>
      <c r="F86" s="8"/>
      <c r="G86" s="8"/>
      <c r="H86" s="8"/>
      <c r="I86" s="8"/>
      <c r="J86" s="8"/>
      <c r="K86" s="8"/>
      <c r="L86" s="8"/>
      <c r="AA86" s="26" t="s">
        <v>472</v>
      </c>
    </row>
    <row r="87" spans="1:27" x14ac:dyDescent="0.2">
      <c r="A87" s="8"/>
      <c r="B87" s="46"/>
      <c r="C87" s="17"/>
      <c r="D87" s="1"/>
      <c r="E87" s="8"/>
      <c r="F87" s="8"/>
      <c r="G87" s="8"/>
      <c r="I87" s="8"/>
      <c r="J87" s="8"/>
      <c r="K87" s="8"/>
      <c r="L87" s="8"/>
      <c r="AA87" s="26"/>
    </row>
    <row r="88" spans="1:27" x14ac:dyDescent="0.2">
      <c r="A88" s="8"/>
      <c r="B88" s="21" t="s">
        <v>473</v>
      </c>
      <c r="C88" s="17"/>
      <c r="D88" s="1"/>
      <c r="E88" s="8"/>
      <c r="F88" s="8"/>
      <c r="G88" s="8"/>
      <c r="I88" s="8"/>
      <c r="J88" s="8"/>
      <c r="K88" s="8"/>
      <c r="L88" s="8"/>
      <c r="AA88" s="1"/>
    </row>
    <row r="89" spans="1:27" x14ac:dyDescent="0.2">
      <c r="A89" s="13">
        <v>55</v>
      </c>
      <c r="B89" s="33" t="s">
        <v>474</v>
      </c>
      <c r="C89" s="17"/>
      <c r="D89" s="1"/>
      <c r="E89" s="8"/>
      <c r="F89" s="8"/>
      <c r="G89" s="8"/>
      <c r="I89" s="8"/>
      <c r="J89" s="8"/>
      <c r="K89" s="8"/>
      <c r="L89" s="8"/>
      <c r="O89" s="20"/>
      <c r="P89" s="20"/>
      <c r="AA89" s="46"/>
    </row>
    <row r="90" spans="1:27" ht="25.5" x14ac:dyDescent="0.2">
      <c r="A90" s="13"/>
      <c r="B90" s="33" t="s">
        <v>475</v>
      </c>
      <c r="C90" s="25" t="s">
        <v>392</v>
      </c>
      <c r="D90" s="1" t="str">
        <f>IF(C90="SI",AA90," ")</f>
        <v xml:space="preserve"> </v>
      </c>
      <c r="E90" s="8"/>
      <c r="F90" s="8"/>
      <c r="G90" s="8"/>
      <c r="I90" s="8"/>
      <c r="J90" s="8"/>
      <c r="K90" s="8"/>
      <c r="L90" s="8"/>
      <c r="AA90" s="26" t="s">
        <v>476</v>
      </c>
    </row>
    <row r="91" spans="1:27" ht="25.5" x14ac:dyDescent="0.2">
      <c r="A91" s="13"/>
      <c r="B91" s="33" t="s">
        <v>477</v>
      </c>
      <c r="C91" s="25" t="s">
        <v>392</v>
      </c>
      <c r="D91" s="1" t="str">
        <f>IF(C91="SI",AA91," ")</f>
        <v xml:space="preserve"> </v>
      </c>
      <c r="E91" s="46"/>
      <c r="F91" s="46"/>
      <c r="G91" s="46"/>
      <c r="H91" s="46"/>
      <c r="I91" s="46"/>
      <c r="J91" s="46"/>
      <c r="K91" s="46"/>
      <c r="L91" s="46"/>
      <c r="M91" s="46"/>
      <c r="N91" s="20"/>
      <c r="Q91" s="20"/>
      <c r="R91" s="20"/>
      <c r="S91" s="20"/>
      <c r="T91" s="20"/>
      <c r="U91" s="20"/>
      <c r="V91" s="20"/>
      <c r="W91" s="20"/>
      <c r="Y91" s="46"/>
      <c r="Z91" s="46"/>
      <c r="AA91" s="26" t="s">
        <v>478</v>
      </c>
    </row>
    <row r="92" spans="1:27" ht="38.25" x14ac:dyDescent="0.2">
      <c r="A92" s="13"/>
      <c r="B92" s="33" t="s">
        <v>143</v>
      </c>
      <c r="C92" s="25" t="s">
        <v>392</v>
      </c>
      <c r="D92" s="1" t="str">
        <f>IF(C92="SI",AA92," ")</f>
        <v xml:space="preserve"> </v>
      </c>
      <c r="E92" s="46"/>
      <c r="F92" s="46"/>
      <c r="G92" s="46"/>
      <c r="H92" s="46"/>
      <c r="I92" s="46"/>
      <c r="J92" s="46"/>
      <c r="K92" s="46"/>
      <c r="L92" s="46"/>
      <c r="M92" s="46"/>
      <c r="Y92" s="46"/>
      <c r="Z92" s="46"/>
      <c r="AA92" s="26" t="s">
        <v>480</v>
      </c>
    </row>
    <row r="93" spans="1:27" x14ac:dyDescent="0.2">
      <c r="A93" s="13">
        <v>56</v>
      </c>
      <c r="B93" s="33" t="s">
        <v>481</v>
      </c>
      <c r="C93" s="17"/>
      <c r="D93" s="1"/>
      <c r="E93" s="46"/>
      <c r="F93" s="46"/>
      <c r="G93" s="46"/>
      <c r="H93" s="46"/>
      <c r="I93" s="46"/>
      <c r="J93" s="46"/>
      <c r="K93" s="46"/>
      <c r="L93" s="46"/>
      <c r="M93" s="46"/>
      <c r="X93" s="46"/>
      <c r="Y93" s="46"/>
      <c r="Z93" s="46"/>
      <c r="AA93" s="26"/>
    </row>
    <row r="94" spans="1:27" x14ac:dyDescent="0.2">
      <c r="A94" s="13"/>
      <c r="B94" s="33" t="s">
        <v>482</v>
      </c>
      <c r="C94" s="25" t="s">
        <v>392</v>
      </c>
      <c r="D94" s="1" t="str">
        <f>IF(C94="SI",AA94," ")</f>
        <v xml:space="preserve"> </v>
      </c>
      <c r="E94" s="49"/>
      <c r="F94" s="49"/>
      <c r="G94" s="49"/>
      <c r="H94" s="46"/>
      <c r="I94" s="46"/>
      <c r="J94" s="46"/>
      <c r="K94" s="46"/>
      <c r="L94" s="46"/>
      <c r="M94" s="46"/>
      <c r="X94" s="46"/>
      <c r="Y94" s="46"/>
      <c r="Z94" s="46"/>
      <c r="AA94" s="26" t="s">
        <v>483</v>
      </c>
    </row>
    <row r="95" spans="1:27" x14ac:dyDescent="0.2">
      <c r="A95" s="13"/>
      <c r="B95" s="33" t="s">
        <v>484</v>
      </c>
      <c r="C95" s="25" t="s">
        <v>392</v>
      </c>
      <c r="D95" s="1" t="str">
        <f>IF(C95="SI",AA95," ")</f>
        <v xml:space="preserve"> </v>
      </c>
      <c r="E95" s="49"/>
      <c r="F95" s="49"/>
      <c r="G95" s="49"/>
      <c r="H95" s="46"/>
      <c r="I95" s="46"/>
      <c r="J95" s="46"/>
      <c r="K95" s="46"/>
      <c r="L95" s="46"/>
      <c r="M95" s="46"/>
      <c r="X95" s="46"/>
      <c r="Y95" s="46"/>
      <c r="Z95" s="46"/>
      <c r="AA95" s="26" t="s">
        <v>485</v>
      </c>
    </row>
    <row r="96" spans="1:27" ht="38.25" x14ac:dyDescent="0.2">
      <c r="A96" s="13">
        <v>57</v>
      </c>
      <c r="B96" s="33" t="s">
        <v>486</v>
      </c>
      <c r="C96" s="25" t="s">
        <v>392</v>
      </c>
      <c r="D96" s="1" t="str">
        <f>IF(C96="SI",AA96," ")</f>
        <v xml:space="preserve"> </v>
      </c>
      <c r="E96" s="46"/>
      <c r="F96" s="46"/>
      <c r="G96" s="46"/>
      <c r="H96" s="46"/>
      <c r="I96" s="46"/>
      <c r="J96" s="46"/>
      <c r="K96" s="46"/>
      <c r="L96" s="46"/>
      <c r="M96" s="46"/>
      <c r="X96" s="46"/>
      <c r="Y96" s="46"/>
      <c r="Z96" s="46"/>
      <c r="AA96" s="26" t="s">
        <v>487</v>
      </c>
    </row>
    <row r="97" spans="1:27" ht="42" customHeight="1" x14ac:dyDescent="0.2">
      <c r="A97" s="13">
        <v>58</v>
      </c>
      <c r="B97" s="33" t="s">
        <v>489</v>
      </c>
      <c r="C97" s="25" t="s">
        <v>318</v>
      </c>
      <c r="D97" s="1" t="str">
        <f>IF(C97="SI",AA97," ")</f>
        <v>Documento descriptivo de los roles y responsabilidades de esos funcionarios.</v>
      </c>
      <c r="E97" s="46"/>
      <c r="F97" s="46"/>
      <c r="G97" s="46"/>
      <c r="I97" s="8"/>
      <c r="J97" s="8"/>
      <c r="K97" s="8"/>
      <c r="L97" s="8"/>
      <c r="X97" s="46"/>
      <c r="AA97" s="26" t="s">
        <v>490</v>
      </c>
    </row>
    <row r="98" spans="1:27" ht="51" x14ac:dyDescent="0.2">
      <c r="A98" s="13">
        <v>59</v>
      </c>
      <c r="B98" s="33" t="s">
        <v>128</v>
      </c>
      <c r="C98" s="17"/>
      <c r="D98" s="1"/>
      <c r="E98" s="46"/>
      <c r="F98" s="46"/>
      <c r="G98" s="46"/>
      <c r="I98" s="8"/>
      <c r="J98" s="8"/>
      <c r="K98" s="8"/>
      <c r="L98" s="8"/>
      <c r="X98" s="46"/>
    </row>
    <row r="99" spans="1:27" ht="25.5" x14ac:dyDescent="0.2">
      <c r="A99" s="8"/>
      <c r="B99" s="33" t="s">
        <v>129</v>
      </c>
      <c r="C99" s="25" t="s">
        <v>318</v>
      </c>
      <c r="D99" s="1" t="str">
        <f>IF(C99="SI",AA99," ")</f>
        <v>Documento respectivo, con indicación de la página atinente</v>
      </c>
      <c r="E99" s="46" t="s">
        <v>567</v>
      </c>
      <c r="F99" s="46"/>
      <c r="G99" s="46"/>
      <c r="I99" s="8"/>
      <c r="J99" s="8"/>
      <c r="K99" s="8"/>
      <c r="L99" s="8"/>
      <c r="AA99" s="26" t="s">
        <v>132</v>
      </c>
    </row>
    <row r="100" spans="1:27" x14ac:dyDescent="0.2">
      <c r="A100" s="8"/>
      <c r="B100" s="33" t="s">
        <v>130</v>
      </c>
      <c r="C100" s="25" t="s">
        <v>318</v>
      </c>
      <c r="D100" s="1" t="str">
        <f>IF(C100="SI",AA100," ")</f>
        <v>Documento respectivo, con indicación de la página atinente</v>
      </c>
      <c r="E100" s="8"/>
      <c r="F100" s="8"/>
      <c r="G100" s="8"/>
      <c r="I100" s="8"/>
      <c r="J100" s="8"/>
      <c r="K100" s="8"/>
      <c r="L100" s="8"/>
      <c r="AA100" s="26" t="s">
        <v>132</v>
      </c>
    </row>
    <row r="101" spans="1:27" ht="25.5" x14ac:dyDescent="0.2">
      <c r="A101" s="8"/>
      <c r="B101" s="33" t="s">
        <v>131</v>
      </c>
      <c r="C101" s="25" t="s">
        <v>392</v>
      </c>
      <c r="D101" s="1" t="str">
        <f>IF(C101="SI",AA101," ")</f>
        <v xml:space="preserve"> </v>
      </c>
      <c r="E101" s="8"/>
      <c r="F101" s="8"/>
      <c r="G101" s="8"/>
      <c r="I101" s="8"/>
      <c r="J101" s="8"/>
      <c r="K101" s="8"/>
      <c r="L101" s="8"/>
      <c r="AA101" s="26" t="s">
        <v>132</v>
      </c>
    </row>
    <row r="102" spans="1:27" x14ac:dyDescent="0.2">
      <c r="A102" s="8"/>
      <c r="B102" s="28"/>
      <c r="C102" s="17"/>
      <c r="D102" s="1"/>
      <c r="E102" s="8"/>
      <c r="F102" s="8"/>
      <c r="G102" s="8"/>
      <c r="I102" s="8"/>
      <c r="J102" s="8"/>
      <c r="K102" s="8"/>
      <c r="L102" s="8"/>
      <c r="AA102" s="1"/>
    </row>
    <row r="103" spans="1:27" x14ac:dyDescent="0.2">
      <c r="A103" s="8"/>
      <c r="B103" s="21" t="s">
        <v>496</v>
      </c>
      <c r="C103" s="17"/>
      <c r="D103" s="1"/>
      <c r="E103" s="8"/>
      <c r="F103" s="8"/>
      <c r="G103" s="8"/>
      <c r="I103" s="8"/>
      <c r="J103" s="8"/>
      <c r="K103" s="8"/>
      <c r="L103" s="8"/>
      <c r="AA103" s="1"/>
    </row>
    <row r="104" spans="1:27" ht="25.5" x14ac:dyDescent="0.2">
      <c r="A104" s="13">
        <v>60</v>
      </c>
      <c r="B104" s="39" t="s">
        <v>497</v>
      </c>
      <c r="C104" s="25" t="s">
        <v>318</v>
      </c>
      <c r="D104" s="1" t="str">
        <f>IF(C104="SI",AA104," ")</f>
        <v>Regulaciones institucionales para la atención de quejas y denuncias.</v>
      </c>
      <c r="E104" s="8" t="s">
        <v>565</v>
      </c>
      <c r="F104" s="8"/>
      <c r="G104" s="8"/>
      <c r="I104" s="8"/>
      <c r="J104" s="8"/>
      <c r="K104" s="8"/>
      <c r="L104" s="8"/>
      <c r="AA104" s="32" t="s">
        <v>498</v>
      </c>
    </row>
    <row r="105" spans="1:27" ht="25.5" x14ac:dyDescent="0.2">
      <c r="A105" s="13">
        <v>61</v>
      </c>
      <c r="B105" s="39" t="s">
        <v>499</v>
      </c>
      <c r="C105" s="25" t="s">
        <v>318</v>
      </c>
      <c r="D105" s="1" t="str">
        <f>IF(C105="SI",AA105," ")</f>
        <v>Regulaciones institucionales sobre plazos para atención de gestiones</v>
      </c>
      <c r="E105" s="8" t="s">
        <v>558</v>
      </c>
      <c r="F105" s="8"/>
      <c r="G105" s="8"/>
      <c r="I105" s="8"/>
      <c r="J105" s="8"/>
      <c r="K105" s="8"/>
      <c r="L105" s="8"/>
      <c r="AA105" s="26" t="s">
        <v>500</v>
      </c>
    </row>
    <row r="106" spans="1:27" ht="25.5" x14ac:dyDescent="0.2">
      <c r="A106" s="13">
        <v>62</v>
      </c>
      <c r="B106" s="39" t="s">
        <v>462</v>
      </c>
      <c r="C106" s="25" t="s">
        <v>318</v>
      </c>
      <c r="D106" s="1" t="str">
        <f>IF(C106="SI",AA106," ")</f>
        <v>Documento que dispone la creación de la contraloría de servicios o determina sus funciones</v>
      </c>
      <c r="E106" s="8" t="s">
        <v>546</v>
      </c>
      <c r="F106" s="8"/>
      <c r="G106" s="8"/>
      <c r="I106" s="8"/>
      <c r="J106" s="8"/>
      <c r="K106" s="8"/>
      <c r="L106" s="8"/>
      <c r="AA106" s="26" t="s">
        <v>502</v>
      </c>
    </row>
    <row r="107" spans="1:27" ht="25.5" x14ac:dyDescent="0.2">
      <c r="A107" s="13">
        <v>63</v>
      </c>
      <c r="B107" s="39" t="s">
        <v>353</v>
      </c>
      <c r="C107" s="25" t="s">
        <v>318</v>
      </c>
      <c r="D107" s="1" t="str">
        <f>IF(C107="SI",AA107," ")</f>
        <v>Instrumento utilizado para medir la gestión de la Contraloría de Servicios.</v>
      </c>
      <c r="E107" s="8" t="s">
        <v>547</v>
      </c>
      <c r="F107" s="8"/>
      <c r="G107" s="8"/>
      <c r="H107" s="8"/>
      <c r="I107" s="8"/>
      <c r="J107" s="8"/>
      <c r="K107" s="8"/>
      <c r="L107" s="8"/>
      <c r="AA107" s="26" t="s">
        <v>504</v>
      </c>
    </row>
    <row r="108" spans="1:27" ht="25.5" x14ac:dyDescent="0.2">
      <c r="A108" s="13">
        <v>64</v>
      </c>
      <c r="B108" s="36" t="s">
        <v>354</v>
      </c>
      <c r="C108" s="25" t="s">
        <v>318</v>
      </c>
      <c r="D108" s="1" t="str">
        <f>IF(C108="SI",AA108," ")</f>
        <v>Indique el sitio web en la columna de "Observaciones"</v>
      </c>
      <c r="E108" s="8" t="s">
        <v>548</v>
      </c>
      <c r="F108" s="8"/>
      <c r="G108" s="8"/>
      <c r="H108" s="8"/>
      <c r="I108" s="8"/>
      <c r="J108" s="8"/>
      <c r="K108" s="8"/>
      <c r="L108" s="8"/>
      <c r="AA108" s="26" t="s">
        <v>506</v>
      </c>
    </row>
    <row r="109" spans="1:27" x14ac:dyDescent="0.2">
      <c r="A109" s="13">
        <v>65</v>
      </c>
      <c r="B109" s="36" t="s">
        <v>355</v>
      </c>
      <c r="C109" s="25"/>
      <c r="D109" s="1"/>
      <c r="E109" s="8"/>
      <c r="F109" s="8"/>
      <c r="G109" s="8"/>
      <c r="H109" s="8"/>
      <c r="I109" s="8"/>
      <c r="J109" s="8"/>
      <c r="K109" s="8"/>
      <c r="L109" s="8"/>
      <c r="AA109" s="26"/>
    </row>
    <row r="110" spans="1:27" ht="25.5" x14ac:dyDescent="0.2">
      <c r="A110" s="8"/>
      <c r="B110" s="50" t="s">
        <v>508</v>
      </c>
      <c r="C110" s="25" t="s">
        <v>318</v>
      </c>
      <c r="D110" s="1" t="str">
        <f t="shared" ref="D110:D120" si="5">IF(C110="SI",AA110," ")</f>
        <v>Captura de la página respectiva</v>
      </c>
      <c r="E110" s="8" t="s">
        <v>534</v>
      </c>
      <c r="F110" s="8"/>
      <c r="G110" s="8"/>
      <c r="H110" s="8"/>
      <c r="I110" s="8"/>
      <c r="J110" s="8"/>
      <c r="K110" s="8"/>
      <c r="L110" s="8"/>
      <c r="AA110" s="26" t="s">
        <v>492</v>
      </c>
    </row>
    <row r="111" spans="1:27" ht="25.5" x14ac:dyDescent="0.2">
      <c r="A111" s="8"/>
      <c r="B111" s="50" t="s">
        <v>509</v>
      </c>
      <c r="C111" s="25" t="s">
        <v>318</v>
      </c>
      <c r="D111" s="1" t="str">
        <f t="shared" si="5"/>
        <v>Captura de la página respectiva</v>
      </c>
      <c r="E111" s="8" t="s">
        <v>535</v>
      </c>
      <c r="F111" s="8"/>
      <c r="G111" s="8"/>
      <c r="H111" s="8"/>
      <c r="I111" s="8"/>
      <c r="J111" s="8"/>
      <c r="K111" s="8"/>
      <c r="L111" s="8"/>
      <c r="AA111" s="26" t="s">
        <v>492</v>
      </c>
    </row>
    <row r="112" spans="1:27" ht="25.5" x14ac:dyDescent="0.2">
      <c r="A112" s="8"/>
      <c r="B112" s="50" t="s">
        <v>510</v>
      </c>
      <c r="C112" s="25" t="s">
        <v>318</v>
      </c>
      <c r="D112" s="1"/>
      <c r="E112" s="8" t="s">
        <v>536</v>
      </c>
      <c r="F112" s="8"/>
      <c r="G112" s="8"/>
      <c r="H112" s="8"/>
      <c r="I112" s="8"/>
      <c r="J112" s="8"/>
      <c r="K112" s="8"/>
      <c r="L112" s="8"/>
      <c r="AA112" s="26" t="s">
        <v>492</v>
      </c>
    </row>
    <row r="113" spans="1:27" ht="25.5" x14ac:dyDescent="0.2">
      <c r="A113" s="8"/>
      <c r="B113" s="50" t="s">
        <v>356</v>
      </c>
      <c r="C113" s="25" t="s">
        <v>453</v>
      </c>
      <c r="D113" s="1" t="str">
        <f t="shared" si="5"/>
        <v xml:space="preserve"> </v>
      </c>
      <c r="E113" s="8"/>
      <c r="F113" s="8"/>
      <c r="G113" s="8"/>
      <c r="H113" s="8"/>
      <c r="I113" s="8"/>
      <c r="J113" s="8"/>
      <c r="K113" s="8"/>
      <c r="L113" s="8"/>
      <c r="AA113" s="26" t="s">
        <v>492</v>
      </c>
    </row>
    <row r="114" spans="1:27" ht="25.5" x14ac:dyDescent="0.2">
      <c r="A114" s="8"/>
      <c r="B114" s="50" t="s">
        <v>2</v>
      </c>
      <c r="C114" s="25" t="s">
        <v>318</v>
      </c>
      <c r="D114" s="1" t="str">
        <f t="shared" si="5"/>
        <v>Captura de la página respectiva</v>
      </c>
      <c r="E114" s="8" t="s">
        <v>549</v>
      </c>
      <c r="F114" s="8"/>
      <c r="G114" s="8"/>
      <c r="H114" s="8"/>
      <c r="I114" s="8"/>
      <c r="J114" s="8"/>
      <c r="K114" s="8"/>
      <c r="L114" s="8"/>
      <c r="AA114" s="26" t="s">
        <v>492</v>
      </c>
    </row>
    <row r="115" spans="1:27" x14ac:dyDescent="0.2">
      <c r="A115" s="8"/>
      <c r="B115" s="50" t="s">
        <v>3</v>
      </c>
      <c r="C115" s="25" t="s">
        <v>318</v>
      </c>
      <c r="D115" s="1" t="str">
        <f t="shared" si="5"/>
        <v>Captura de la página respectiva</v>
      </c>
      <c r="E115" s="8" t="s">
        <v>537</v>
      </c>
      <c r="F115" s="8"/>
      <c r="G115" s="8"/>
      <c r="H115" s="8"/>
      <c r="I115" s="8"/>
      <c r="J115" s="8"/>
      <c r="K115" s="8"/>
      <c r="L115" s="8"/>
      <c r="AA115" s="26" t="s">
        <v>492</v>
      </c>
    </row>
    <row r="116" spans="1:27" ht="25.5" x14ac:dyDescent="0.2">
      <c r="A116" s="8"/>
      <c r="B116" s="50" t="s">
        <v>4</v>
      </c>
      <c r="C116" s="25" t="s">
        <v>318</v>
      </c>
      <c r="D116" s="1" t="str">
        <f t="shared" si="5"/>
        <v>Captura de la página respectiva</v>
      </c>
      <c r="E116" s="8" t="s">
        <v>538</v>
      </c>
      <c r="F116" s="8"/>
      <c r="G116" s="8"/>
      <c r="H116" s="8"/>
      <c r="I116" s="8"/>
      <c r="J116" s="8"/>
      <c r="K116" s="8"/>
      <c r="L116" s="8"/>
      <c r="AA116" s="26" t="s">
        <v>492</v>
      </c>
    </row>
    <row r="117" spans="1:27" ht="38.25" x14ac:dyDescent="0.2">
      <c r="A117" s="8"/>
      <c r="B117" s="50" t="s">
        <v>357</v>
      </c>
      <c r="C117" s="25" t="s">
        <v>318</v>
      </c>
      <c r="D117" s="1" t="str">
        <f t="shared" si="5"/>
        <v>Captura de la página respectiva</v>
      </c>
      <c r="E117" s="8" t="s">
        <v>539</v>
      </c>
      <c r="F117" s="8"/>
      <c r="G117" s="8"/>
      <c r="H117" s="8"/>
      <c r="I117" s="8"/>
      <c r="J117" s="8"/>
      <c r="K117" s="8"/>
      <c r="L117" s="8"/>
      <c r="AA117" s="26" t="s">
        <v>492</v>
      </c>
    </row>
    <row r="118" spans="1:27" ht="32.25" customHeight="1" x14ac:dyDescent="0.2">
      <c r="A118" s="8"/>
      <c r="B118" s="50" t="s">
        <v>144</v>
      </c>
      <c r="C118" s="25" t="s">
        <v>318</v>
      </c>
      <c r="D118" s="1" t="str">
        <f t="shared" si="5"/>
        <v>Captura de la página respectiva</v>
      </c>
      <c r="E118" s="8"/>
      <c r="F118" s="8"/>
      <c r="G118" s="8"/>
      <c r="H118" s="8"/>
      <c r="I118" s="8"/>
      <c r="J118" s="8"/>
      <c r="K118" s="8"/>
      <c r="L118" s="8"/>
      <c r="AA118" s="26" t="s">
        <v>492</v>
      </c>
    </row>
    <row r="119" spans="1:27" ht="25.5" x14ac:dyDescent="0.2">
      <c r="A119" s="8"/>
      <c r="B119" s="50" t="s">
        <v>358</v>
      </c>
      <c r="C119" s="25" t="s">
        <v>392</v>
      </c>
      <c r="D119" s="1"/>
      <c r="E119" s="8"/>
      <c r="F119" s="8"/>
      <c r="G119" s="8"/>
      <c r="H119" s="8"/>
      <c r="I119" s="8"/>
      <c r="J119" s="8"/>
      <c r="K119" s="8"/>
      <c r="L119" s="8"/>
      <c r="AA119" s="26" t="s">
        <v>492</v>
      </c>
    </row>
    <row r="120" spans="1:27" ht="25.5" x14ac:dyDescent="0.2">
      <c r="A120" s="13">
        <v>66</v>
      </c>
      <c r="B120" s="36" t="s">
        <v>8</v>
      </c>
      <c r="C120" s="25" t="s">
        <v>318</v>
      </c>
      <c r="D120" s="1" t="str">
        <f t="shared" si="5"/>
        <v>Captura de la página respectiva</v>
      </c>
      <c r="E120" s="8" t="s">
        <v>540</v>
      </c>
      <c r="F120" s="8"/>
      <c r="G120" s="8"/>
      <c r="H120" s="8"/>
      <c r="I120" s="8"/>
      <c r="J120" s="8"/>
      <c r="K120" s="8"/>
      <c r="L120" s="8"/>
      <c r="AA120" s="26" t="s">
        <v>492</v>
      </c>
    </row>
    <row r="121" spans="1:27" ht="25.5" x14ac:dyDescent="0.2">
      <c r="A121" s="13">
        <v>67</v>
      </c>
      <c r="B121" s="36" t="s">
        <v>9</v>
      </c>
      <c r="C121" s="25" t="s">
        <v>392</v>
      </c>
      <c r="D121" s="1" t="str">
        <f>IF(C121="SI",AA121," ")</f>
        <v xml:space="preserve"> </v>
      </c>
      <c r="E121" s="8"/>
      <c r="F121" s="8"/>
      <c r="G121" s="8"/>
      <c r="H121" s="8"/>
      <c r="I121" s="8"/>
      <c r="J121" s="8"/>
      <c r="K121" s="8"/>
      <c r="L121" s="8"/>
      <c r="AA121" s="26" t="s">
        <v>10</v>
      </c>
    </row>
    <row r="122" spans="1:27" ht="25.5" x14ac:dyDescent="0.2">
      <c r="A122" s="13">
        <v>68</v>
      </c>
      <c r="B122" s="36" t="s">
        <v>359</v>
      </c>
      <c r="C122" s="25" t="s">
        <v>318</v>
      </c>
      <c r="D122" s="1" t="str">
        <f>IF(C122="SI",AA122," ")</f>
        <v>Acuerdos o acciones ejecutadas</v>
      </c>
      <c r="E122" s="8"/>
      <c r="F122" s="8"/>
      <c r="G122" s="8"/>
      <c r="H122" s="8"/>
      <c r="I122" s="8"/>
      <c r="J122" s="8"/>
      <c r="K122" s="8"/>
      <c r="L122" s="8"/>
      <c r="AA122" s="26" t="s">
        <v>12</v>
      </c>
    </row>
    <row r="123" spans="1:27" x14ac:dyDescent="0.2">
      <c r="A123" s="13">
        <v>69</v>
      </c>
      <c r="B123" s="36" t="s">
        <v>360</v>
      </c>
      <c r="C123" s="25" t="s">
        <v>318</v>
      </c>
      <c r="D123" s="1" t="str">
        <f>IF(C123="SI",AA123," ")</f>
        <v>Acuerdos o acciones ejecutadas</v>
      </c>
      <c r="E123" s="8" t="s">
        <v>550</v>
      </c>
      <c r="F123" s="8"/>
      <c r="G123" s="8"/>
      <c r="H123" s="8"/>
      <c r="I123" s="8"/>
      <c r="J123" s="8"/>
      <c r="K123" s="8"/>
      <c r="L123" s="8"/>
      <c r="AA123" s="26" t="s">
        <v>12</v>
      </c>
    </row>
    <row r="124" spans="1:27" x14ac:dyDescent="0.2">
      <c r="A124" s="13"/>
      <c r="B124" s="28"/>
      <c r="C124" s="17"/>
      <c r="D124" s="1"/>
      <c r="E124" s="8"/>
      <c r="F124" s="8"/>
      <c r="G124" s="8"/>
      <c r="H124" s="8"/>
      <c r="I124" s="8"/>
      <c r="J124" s="8"/>
      <c r="K124" s="8"/>
      <c r="L124" s="8"/>
      <c r="AA124" s="1"/>
    </row>
    <row r="125" spans="1:27" x14ac:dyDescent="0.2">
      <c r="A125" s="8"/>
      <c r="B125" s="21" t="s">
        <v>14</v>
      </c>
      <c r="C125" s="17"/>
      <c r="D125" s="1"/>
      <c r="E125" s="8"/>
      <c r="F125" s="8"/>
      <c r="G125" s="8"/>
      <c r="H125" s="8"/>
      <c r="I125" s="8"/>
      <c r="J125" s="8"/>
      <c r="K125" s="8"/>
      <c r="L125" s="8"/>
      <c r="AA125" s="26"/>
    </row>
    <row r="126" spans="1:27" x14ac:dyDescent="0.2">
      <c r="A126" s="13">
        <v>70</v>
      </c>
      <c r="B126" s="51" t="s">
        <v>15</v>
      </c>
      <c r="C126" s="25" t="s">
        <v>318</v>
      </c>
      <c r="D126" s="1" t="str">
        <f>IF(C126="SI",AA126," ")</f>
        <v>Procedimientos de medición del desempeño.</v>
      </c>
      <c r="E126" s="8"/>
      <c r="F126" s="8"/>
      <c r="G126" s="8"/>
      <c r="H126" s="8"/>
      <c r="I126" s="8"/>
      <c r="J126" s="8"/>
      <c r="K126" s="8"/>
      <c r="L126" s="8"/>
      <c r="N126" s="20"/>
      <c r="Q126" s="20"/>
      <c r="R126" s="20"/>
      <c r="S126" s="20"/>
      <c r="T126" s="20"/>
      <c r="U126" s="20"/>
      <c r="V126" s="20"/>
      <c r="AA126" s="52" t="s">
        <v>16</v>
      </c>
    </row>
    <row r="127" spans="1:27" ht="25.5" x14ac:dyDescent="0.2">
      <c r="A127" s="13">
        <v>71</v>
      </c>
      <c r="B127" s="51" t="s">
        <v>17</v>
      </c>
      <c r="C127" s="25" t="s">
        <v>392</v>
      </c>
      <c r="D127" s="1" t="str">
        <f>IF(C127="SI",AA127," ")</f>
        <v xml:space="preserve"> </v>
      </c>
      <c r="E127" s="8" t="s">
        <v>541</v>
      </c>
      <c r="F127" s="8"/>
      <c r="G127" s="8"/>
      <c r="H127" s="8"/>
      <c r="I127" s="8"/>
      <c r="J127" s="8"/>
      <c r="K127" s="8"/>
      <c r="L127" s="8"/>
      <c r="N127" s="20"/>
      <c r="Q127" s="20"/>
      <c r="R127" s="20"/>
      <c r="S127" s="20"/>
      <c r="T127" s="20"/>
      <c r="U127" s="20"/>
      <c r="V127" s="20"/>
      <c r="AA127" s="52" t="s">
        <v>18</v>
      </c>
    </row>
    <row r="128" spans="1:27" ht="25.5" x14ac:dyDescent="0.2">
      <c r="A128" s="13">
        <v>72</v>
      </c>
      <c r="B128" s="39" t="s">
        <v>361</v>
      </c>
      <c r="C128" s="25" t="s">
        <v>318</v>
      </c>
      <c r="D128" s="1" t="str">
        <f>IF(C128="SI",AA128," ")</f>
        <v>Normativa interna para el reclutamiento, la selección y promoción del personal</v>
      </c>
      <c r="E128" s="8" t="s">
        <v>542</v>
      </c>
      <c r="F128" s="8"/>
      <c r="G128" s="8"/>
      <c r="H128" s="8"/>
      <c r="I128" s="8"/>
      <c r="J128" s="8"/>
      <c r="K128" s="8"/>
      <c r="L128" s="8"/>
      <c r="W128" s="20"/>
      <c r="AA128" s="52" t="s">
        <v>20</v>
      </c>
    </row>
    <row r="129" spans="1:27" ht="25.5" x14ac:dyDescent="0.2">
      <c r="A129" s="13">
        <v>73</v>
      </c>
      <c r="B129" s="36" t="s">
        <v>21</v>
      </c>
      <c r="C129" s="25" t="s">
        <v>392</v>
      </c>
      <c r="D129" s="1" t="str">
        <f>IF(C129="SI",AA129," ")</f>
        <v xml:space="preserve"> </v>
      </c>
      <c r="E129" s="1"/>
      <c r="F129" s="1"/>
      <c r="G129" s="1"/>
      <c r="H129" s="8"/>
      <c r="I129" s="8"/>
      <c r="J129" s="8"/>
      <c r="K129" s="8"/>
      <c r="L129" s="8"/>
      <c r="AA129" s="26" t="s">
        <v>22</v>
      </c>
    </row>
    <row r="130" spans="1:27" ht="25.5" x14ac:dyDescent="0.2">
      <c r="A130" s="13">
        <v>74</v>
      </c>
      <c r="B130" s="36" t="s">
        <v>23</v>
      </c>
      <c r="C130" s="25" t="s">
        <v>318</v>
      </c>
      <c r="D130" s="1" t="str">
        <f>IF(C130="SI",AA130," ")</f>
        <v>Programa de capacitación e informe de su ejecución</v>
      </c>
      <c r="E130" s="8" t="s">
        <v>543</v>
      </c>
      <c r="F130" s="8"/>
      <c r="G130" s="8"/>
      <c r="H130" s="8"/>
      <c r="I130" s="8"/>
      <c r="J130" s="8"/>
      <c r="K130" s="8"/>
      <c r="L130" s="8"/>
      <c r="AA130" s="26" t="s">
        <v>24</v>
      </c>
    </row>
    <row r="131" spans="1:27" x14ac:dyDescent="0.2">
      <c r="A131" s="8"/>
      <c r="B131" s="53"/>
      <c r="C131" s="17"/>
      <c r="D131" s="1"/>
      <c r="E131" s="8"/>
      <c r="F131" s="8"/>
      <c r="G131" s="8"/>
      <c r="H131" s="8"/>
      <c r="I131" s="8"/>
      <c r="J131" s="8"/>
      <c r="K131" s="8"/>
      <c r="L131" s="8"/>
      <c r="AA131" s="1"/>
    </row>
    <row r="132" spans="1:27" ht="37.5" x14ac:dyDescent="0.2">
      <c r="A132" s="8"/>
      <c r="B132" s="58" t="s">
        <v>60</v>
      </c>
      <c r="C132" s="17"/>
      <c r="D132" s="134"/>
      <c r="E132" s="40"/>
      <c r="F132" s="8"/>
      <c r="G132" s="8"/>
      <c r="H132" s="8"/>
      <c r="I132" s="8"/>
      <c r="J132" s="8"/>
      <c r="K132" s="8"/>
      <c r="L132" s="8"/>
      <c r="AA132" s="1"/>
    </row>
    <row r="133" spans="1:27" x14ac:dyDescent="0.2">
      <c r="A133" s="13">
        <v>75</v>
      </c>
      <c r="B133" s="50" t="s">
        <v>152</v>
      </c>
      <c r="C133" s="186">
        <v>67205578000</v>
      </c>
      <c r="D133" s="1"/>
      <c r="E133" s="40" t="s">
        <v>559</v>
      </c>
      <c r="F133" s="8"/>
      <c r="G133" s="8"/>
      <c r="H133" s="8"/>
      <c r="I133" s="8"/>
      <c r="J133" s="8"/>
      <c r="K133" s="8"/>
      <c r="L133" s="8"/>
      <c r="AA133" s="26"/>
    </row>
    <row r="134" spans="1:27" x14ac:dyDescent="0.2">
      <c r="A134" s="13">
        <v>76</v>
      </c>
      <c r="B134" s="50" t="s">
        <v>153</v>
      </c>
      <c r="C134" s="186">
        <v>-513166990</v>
      </c>
      <c r="D134" s="1"/>
      <c r="E134" s="40" t="s">
        <v>559</v>
      </c>
      <c r="F134" s="8"/>
      <c r="G134" s="8"/>
      <c r="H134" s="8"/>
      <c r="I134" s="8"/>
      <c r="J134" s="8"/>
      <c r="K134" s="8"/>
      <c r="L134" s="8"/>
      <c r="AA134" s="26"/>
    </row>
    <row r="135" spans="1:27" x14ac:dyDescent="0.2">
      <c r="A135" s="13">
        <v>77</v>
      </c>
      <c r="B135" s="50" t="s">
        <v>25</v>
      </c>
      <c r="C135" s="187">
        <v>37</v>
      </c>
      <c r="D135" s="1"/>
      <c r="E135" s="40" t="s">
        <v>559</v>
      </c>
      <c r="F135" s="8"/>
      <c r="G135" s="8"/>
      <c r="H135" s="8"/>
      <c r="I135" s="8"/>
      <c r="J135" s="8"/>
      <c r="K135" s="8"/>
      <c r="L135" s="8"/>
      <c r="AA135" s="1"/>
    </row>
    <row r="136" spans="1:27" ht="25.5" x14ac:dyDescent="0.2">
      <c r="A136" s="13">
        <v>78</v>
      </c>
      <c r="B136" s="50" t="s">
        <v>26</v>
      </c>
      <c r="C136" s="187">
        <v>31</v>
      </c>
      <c r="D136" s="8" t="s">
        <v>27</v>
      </c>
      <c r="E136" s="40" t="s">
        <v>559</v>
      </c>
      <c r="F136" s="8"/>
      <c r="G136" s="8"/>
      <c r="H136" s="8"/>
      <c r="I136" s="8"/>
      <c r="J136" s="8"/>
      <c r="K136" s="8"/>
      <c r="L136" s="8"/>
      <c r="AA136" s="1"/>
    </row>
    <row r="137" spans="1:27" ht="30" customHeight="1" x14ac:dyDescent="0.2">
      <c r="A137" s="13">
        <v>79</v>
      </c>
      <c r="B137" s="50" t="s">
        <v>28</v>
      </c>
      <c r="C137" s="187">
        <v>3</v>
      </c>
      <c r="D137" s="8" t="s">
        <v>29</v>
      </c>
      <c r="E137" s="40" t="s">
        <v>559</v>
      </c>
      <c r="F137" s="8"/>
      <c r="G137" s="8"/>
      <c r="H137" s="8"/>
      <c r="I137" s="8"/>
      <c r="J137" s="8"/>
      <c r="K137" s="8"/>
      <c r="L137" s="8"/>
      <c r="AA137" s="1"/>
    </row>
    <row r="138" spans="1:27" ht="25.5" x14ac:dyDescent="0.2">
      <c r="A138" s="13">
        <v>80</v>
      </c>
      <c r="B138" s="50" t="s">
        <v>30</v>
      </c>
      <c r="C138" s="187">
        <v>3</v>
      </c>
      <c r="D138" s="40" t="s">
        <v>31</v>
      </c>
      <c r="E138" s="40" t="s">
        <v>559</v>
      </c>
      <c r="F138" s="40"/>
      <c r="G138" s="40"/>
      <c r="H138" s="8"/>
      <c r="I138" s="8"/>
      <c r="J138" s="8"/>
      <c r="K138" s="8"/>
      <c r="L138" s="8"/>
      <c r="AA138" s="1"/>
    </row>
    <row r="139" spans="1:27" x14ac:dyDescent="0.2">
      <c r="A139" s="13">
        <v>81</v>
      </c>
      <c r="B139" s="50" t="s">
        <v>32</v>
      </c>
      <c r="C139" s="188">
        <v>1</v>
      </c>
      <c r="D139" s="1"/>
      <c r="E139" s="40" t="s">
        <v>559</v>
      </c>
      <c r="F139" s="40"/>
      <c r="G139" s="40"/>
      <c r="H139" s="8"/>
      <c r="I139" s="8"/>
      <c r="J139" s="8"/>
      <c r="K139" s="8"/>
      <c r="L139" s="8"/>
      <c r="AA139" s="1"/>
    </row>
    <row r="140" spans="1:27" x14ac:dyDescent="0.2">
      <c r="A140" s="13">
        <v>82</v>
      </c>
      <c r="B140" s="50" t="s">
        <v>154</v>
      </c>
      <c r="C140" s="186">
        <v>59882782976</v>
      </c>
      <c r="D140" s="1"/>
      <c r="E140" s="40" t="s">
        <v>559</v>
      </c>
      <c r="F140" s="8"/>
      <c r="G140" s="8"/>
      <c r="H140" s="8"/>
      <c r="I140" s="8"/>
      <c r="J140" s="8"/>
      <c r="K140" s="8"/>
      <c r="L140" s="8"/>
      <c r="AA140" s="1"/>
    </row>
    <row r="141" spans="1:27" x14ac:dyDescent="0.2">
      <c r="A141" s="13">
        <v>83</v>
      </c>
      <c r="B141" s="50" t="s">
        <v>155</v>
      </c>
      <c r="C141" s="186">
        <v>68705578000</v>
      </c>
      <c r="D141" s="1"/>
      <c r="E141" s="40" t="s">
        <v>559</v>
      </c>
      <c r="F141" s="8"/>
      <c r="G141" s="8"/>
      <c r="H141" s="8"/>
      <c r="I141" s="8"/>
      <c r="J141" s="8"/>
      <c r="K141" s="8"/>
      <c r="L141" s="8"/>
      <c r="AA141" s="1"/>
    </row>
    <row r="142" spans="1:27" x14ac:dyDescent="0.2">
      <c r="A142" s="13">
        <v>84</v>
      </c>
      <c r="B142" s="50" t="s">
        <v>33</v>
      </c>
      <c r="C142" s="186">
        <v>3124800673</v>
      </c>
      <c r="E142" s="40" t="s">
        <v>559</v>
      </c>
      <c r="H142" s="8"/>
      <c r="I142" s="8"/>
      <c r="J142" s="8"/>
      <c r="K142" s="8"/>
      <c r="L142" s="8"/>
    </row>
    <row r="143" spans="1:27" x14ac:dyDescent="0.2">
      <c r="A143" s="13">
        <v>85</v>
      </c>
      <c r="B143" s="50" t="s">
        <v>34</v>
      </c>
      <c r="C143" s="186">
        <v>2725521969</v>
      </c>
      <c r="E143" s="40" t="s">
        <v>559</v>
      </c>
      <c r="H143" s="8"/>
      <c r="L143" s="8"/>
    </row>
    <row r="144" spans="1:27" x14ac:dyDescent="0.2">
      <c r="A144" s="13">
        <v>86</v>
      </c>
      <c r="B144" s="54" t="s">
        <v>35</v>
      </c>
      <c r="C144" s="186">
        <v>59717461986</v>
      </c>
      <c r="D144" s="1"/>
      <c r="E144" s="40" t="s">
        <v>559</v>
      </c>
      <c r="F144" s="8"/>
      <c r="G144" s="8"/>
      <c r="H144" s="8"/>
      <c r="I144" s="8"/>
      <c r="J144" s="8"/>
      <c r="K144" s="8"/>
      <c r="L144" s="8"/>
      <c r="AA144" s="1"/>
    </row>
    <row r="145" spans="1:34" ht="25.5" x14ac:dyDescent="0.2">
      <c r="A145" s="13">
        <v>87</v>
      </c>
      <c r="B145" s="54" t="s">
        <v>167</v>
      </c>
      <c r="C145" s="228">
        <f>C140</f>
        <v>59882782976</v>
      </c>
      <c r="D145" s="40" t="s">
        <v>362</v>
      </c>
      <c r="E145" s="40" t="s">
        <v>559</v>
      </c>
      <c r="F145" s="8"/>
      <c r="G145" s="8"/>
      <c r="H145" s="8"/>
      <c r="I145" s="8"/>
      <c r="J145" s="8"/>
      <c r="K145" s="8"/>
      <c r="L145" s="8"/>
      <c r="AA145" s="1"/>
    </row>
    <row r="146" spans="1:34" x14ac:dyDescent="0.2">
      <c r="A146" s="13">
        <v>88</v>
      </c>
      <c r="B146" s="54" t="s">
        <v>168</v>
      </c>
      <c r="C146" s="186">
        <v>0</v>
      </c>
      <c r="D146" s="19"/>
      <c r="E146" s="250" t="s">
        <v>566</v>
      </c>
      <c r="F146" s="8"/>
      <c r="G146" s="8"/>
      <c r="H146" s="8"/>
      <c r="I146" s="8"/>
      <c r="J146" s="8"/>
      <c r="K146" s="8"/>
      <c r="L146" s="8"/>
      <c r="AA146" s="19"/>
    </row>
    <row r="147" spans="1:34" s="30" customFormat="1" ht="25.5" x14ac:dyDescent="0.2">
      <c r="A147" s="13">
        <v>89</v>
      </c>
      <c r="B147" s="54" t="s">
        <v>170</v>
      </c>
      <c r="C147" s="228">
        <f>C146</f>
        <v>0</v>
      </c>
      <c r="D147" s="40" t="s">
        <v>363</v>
      </c>
      <c r="E147" s="28" t="s">
        <v>566</v>
      </c>
      <c r="F147" s="28"/>
      <c r="G147" s="28"/>
      <c r="H147" s="28"/>
      <c r="I147" s="28"/>
      <c r="J147" s="28"/>
      <c r="K147" s="28"/>
      <c r="L147" s="28"/>
      <c r="N147" s="4"/>
      <c r="O147" s="4"/>
      <c r="P147" s="4"/>
      <c r="Q147" s="4"/>
      <c r="R147" s="4"/>
      <c r="S147" s="4"/>
      <c r="T147" s="4"/>
      <c r="U147" s="4"/>
      <c r="V147" s="4"/>
      <c r="W147" s="4"/>
      <c r="X147" s="4"/>
      <c r="Y147" s="31"/>
      <c r="Z147" s="31"/>
      <c r="AA147" s="1"/>
      <c r="AB147" s="31"/>
      <c r="AC147" s="31"/>
      <c r="AD147" s="31"/>
      <c r="AE147" s="31"/>
      <c r="AF147" s="31"/>
      <c r="AG147" s="31"/>
      <c r="AH147" s="31"/>
    </row>
    <row r="148" spans="1:34" s="30" customFormat="1" x14ac:dyDescent="0.2">
      <c r="A148" s="13">
        <v>90</v>
      </c>
      <c r="B148" s="54" t="s">
        <v>36</v>
      </c>
      <c r="C148" s="186">
        <v>0</v>
      </c>
      <c r="D148" s="1"/>
      <c r="E148" s="250" t="s">
        <v>566</v>
      </c>
      <c r="F148" s="28"/>
      <c r="G148" s="28"/>
      <c r="H148" s="28"/>
      <c r="I148" s="28"/>
      <c r="J148" s="28"/>
      <c r="K148" s="28"/>
      <c r="L148" s="28"/>
      <c r="N148" s="4"/>
      <c r="O148" s="4"/>
      <c r="P148" s="4"/>
      <c r="Q148" s="4"/>
      <c r="R148" s="4"/>
      <c r="S148" s="4"/>
      <c r="T148" s="4"/>
      <c r="U148" s="4"/>
      <c r="V148" s="4"/>
      <c r="W148" s="4"/>
      <c r="X148" s="4"/>
      <c r="Y148" s="31"/>
      <c r="Z148" s="31"/>
      <c r="AA148" s="1"/>
      <c r="AB148" s="31"/>
      <c r="AC148" s="31"/>
      <c r="AD148" s="31"/>
      <c r="AE148" s="31"/>
      <c r="AF148" s="31"/>
      <c r="AG148" s="31"/>
      <c r="AH148" s="31"/>
    </row>
    <row r="149" spans="1:34" x14ac:dyDescent="0.2">
      <c r="B149" s="21" t="s">
        <v>37</v>
      </c>
      <c r="C149" s="186"/>
      <c r="D149" s="1"/>
      <c r="E149" s="8"/>
      <c r="F149" s="8"/>
      <c r="G149" s="8"/>
      <c r="H149" s="8"/>
      <c r="I149" s="8"/>
      <c r="J149" s="8"/>
      <c r="K149" s="8"/>
      <c r="L149" s="8"/>
      <c r="N149" s="20"/>
      <c r="Q149" s="20"/>
      <c r="R149" s="20"/>
      <c r="S149" s="20"/>
      <c r="T149" s="20"/>
      <c r="U149" s="20"/>
      <c r="V149" s="20"/>
    </row>
    <row r="150" spans="1:34" ht="25.5" x14ac:dyDescent="0.2">
      <c r="A150" s="13">
        <v>91</v>
      </c>
      <c r="B150" s="50" t="s">
        <v>38</v>
      </c>
      <c r="C150" s="188">
        <v>0</v>
      </c>
      <c r="D150" s="4" t="s">
        <v>305</v>
      </c>
      <c r="E150" s="40"/>
      <c r="F150" s="8"/>
      <c r="G150" s="8"/>
      <c r="H150" s="8"/>
      <c r="I150" s="8"/>
      <c r="J150" s="8"/>
      <c r="K150" s="8"/>
      <c r="L150" s="8"/>
      <c r="AA150" s="1"/>
    </row>
    <row r="151" spans="1:34" ht="25.5" x14ac:dyDescent="0.2">
      <c r="A151" s="13">
        <v>92</v>
      </c>
      <c r="B151" s="50" t="s">
        <v>39</v>
      </c>
      <c r="C151" s="55" t="s">
        <v>453</v>
      </c>
      <c r="D151" s="4" t="s">
        <v>306</v>
      </c>
      <c r="E151" s="8"/>
      <c r="F151" s="8"/>
      <c r="G151" s="8"/>
      <c r="H151" s="8"/>
      <c r="I151" s="8"/>
      <c r="J151" s="8"/>
      <c r="K151" s="8"/>
      <c r="L151" s="8"/>
      <c r="AA151" s="1"/>
    </row>
    <row r="152" spans="1:34" ht="15.75" thickBot="1" x14ac:dyDescent="0.25">
      <c r="A152" s="13"/>
      <c r="B152" s="53"/>
      <c r="C152" s="57"/>
      <c r="D152" s="1"/>
      <c r="E152" s="8"/>
      <c r="F152" s="8"/>
      <c r="G152" s="8"/>
      <c r="H152" s="8"/>
      <c r="I152" s="8"/>
      <c r="J152" s="8"/>
      <c r="K152" s="8"/>
      <c r="L152" s="8"/>
      <c r="AA152" s="1"/>
    </row>
    <row r="153" spans="1:34" ht="51" customHeight="1" thickBot="1" x14ac:dyDescent="0.25">
      <c r="A153" s="28"/>
      <c r="B153" s="58" t="s">
        <v>61</v>
      </c>
      <c r="C153" s="59" t="s">
        <v>453</v>
      </c>
      <c r="D153" s="60" t="s">
        <v>42</v>
      </c>
      <c r="E153" s="8"/>
      <c r="F153" s="8"/>
      <c r="G153" s="8"/>
      <c r="H153" s="8"/>
      <c r="I153" s="8"/>
      <c r="J153" s="8"/>
      <c r="K153" s="8"/>
      <c r="L153" s="8"/>
      <c r="AA153" s="1"/>
    </row>
    <row r="154" spans="1:34" x14ac:dyDescent="0.2">
      <c r="B154" s="264" t="s">
        <v>43</v>
      </c>
      <c r="C154" s="61"/>
      <c r="H154" s="8"/>
      <c r="I154" s="8"/>
      <c r="J154" s="8"/>
      <c r="K154" s="8"/>
      <c r="L154" s="8"/>
    </row>
    <row r="155" spans="1:34" x14ac:dyDescent="0.2">
      <c r="B155" s="265"/>
      <c r="C155" s="61"/>
      <c r="H155" s="8"/>
      <c r="I155" s="8"/>
      <c r="J155" s="8"/>
      <c r="K155" s="8"/>
      <c r="L155" s="8"/>
    </row>
    <row r="156" spans="1:34" x14ac:dyDescent="0.2">
      <c r="B156" s="62" t="s">
        <v>44</v>
      </c>
      <c r="C156" s="189">
        <f>SUM(C157:C159)</f>
        <v>0</v>
      </c>
    </row>
    <row r="157" spans="1:34" x14ac:dyDescent="0.2">
      <c r="B157" s="2" t="s">
        <v>45</v>
      </c>
      <c r="C157" s="190">
        <v>0</v>
      </c>
    </row>
    <row r="158" spans="1:34" x14ac:dyDescent="0.2">
      <c r="B158" s="2" t="s">
        <v>46</v>
      </c>
      <c r="C158" s="190">
        <v>0</v>
      </c>
    </row>
    <row r="159" spans="1:34" x14ac:dyDescent="0.2">
      <c r="B159" s="2" t="s">
        <v>47</v>
      </c>
      <c r="C159" s="192">
        <v>0</v>
      </c>
    </row>
    <row r="160" spans="1:34" x14ac:dyDescent="0.2">
      <c r="B160" s="62" t="s">
        <v>48</v>
      </c>
      <c r="C160" s="189">
        <f>C161+C165</f>
        <v>0</v>
      </c>
    </row>
    <row r="161" spans="2:12" x14ac:dyDescent="0.2">
      <c r="B161" s="63" t="s">
        <v>49</v>
      </c>
      <c r="C161" s="190">
        <v>0</v>
      </c>
    </row>
    <row r="162" spans="2:12" x14ac:dyDescent="0.2">
      <c r="B162" s="2" t="s">
        <v>50</v>
      </c>
      <c r="C162" s="190">
        <v>0</v>
      </c>
      <c r="H162" s="8"/>
      <c r="I162" s="8"/>
      <c r="J162" s="8"/>
      <c r="K162" s="8"/>
      <c r="L162" s="8"/>
    </row>
    <row r="163" spans="2:12" x14ac:dyDescent="0.2">
      <c r="B163" s="2" t="s">
        <v>51</v>
      </c>
      <c r="C163" s="190">
        <v>0</v>
      </c>
      <c r="H163" s="8"/>
      <c r="I163" s="8"/>
      <c r="J163" s="8"/>
      <c r="K163" s="8"/>
      <c r="L163" s="8"/>
    </row>
    <row r="164" spans="2:12" x14ac:dyDescent="0.2">
      <c r="B164" s="2" t="s">
        <v>52</v>
      </c>
      <c r="C164" s="192">
        <v>0</v>
      </c>
      <c r="H164" s="8"/>
      <c r="I164" s="8"/>
      <c r="J164" s="8"/>
      <c r="K164" s="8"/>
      <c r="L164" s="8"/>
    </row>
    <row r="165" spans="2:12" x14ac:dyDescent="0.2">
      <c r="B165" s="63" t="s">
        <v>53</v>
      </c>
      <c r="C165" s="193">
        <f>C156-C161</f>
        <v>0</v>
      </c>
      <c r="E165" s="4"/>
      <c r="F165" s="4"/>
      <c r="G165" s="4"/>
      <c r="L165" s="8"/>
    </row>
    <row r="166" spans="2:12" x14ac:dyDescent="0.2">
      <c r="B166" s="62" t="s">
        <v>54</v>
      </c>
      <c r="C166" s="194"/>
      <c r="H166" s="8"/>
      <c r="I166" s="8"/>
      <c r="J166" s="8"/>
      <c r="K166" s="8"/>
      <c r="L166" s="8"/>
    </row>
    <row r="167" spans="2:12" x14ac:dyDescent="0.2">
      <c r="B167" s="2" t="s">
        <v>55</v>
      </c>
      <c r="C167" s="190">
        <v>0</v>
      </c>
    </row>
    <row r="168" spans="2:12" x14ac:dyDescent="0.2">
      <c r="B168" s="2" t="s">
        <v>56</v>
      </c>
      <c r="C168" s="190">
        <v>0</v>
      </c>
    </row>
    <row r="169" spans="2:12" x14ac:dyDescent="0.2">
      <c r="B169" s="2" t="s">
        <v>63</v>
      </c>
      <c r="C169" s="190">
        <v>0</v>
      </c>
    </row>
    <row r="170" spans="2:12" x14ac:dyDescent="0.2">
      <c r="B170" s="2" t="s">
        <v>64</v>
      </c>
      <c r="C170" s="190">
        <v>0</v>
      </c>
    </row>
    <row r="171" spans="2:12" x14ac:dyDescent="0.2">
      <c r="B171" s="64" t="s">
        <v>65</v>
      </c>
      <c r="C171" s="195">
        <v>0</v>
      </c>
    </row>
    <row r="175" spans="2:12" x14ac:dyDescent="0.2">
      <c r="B175" s="196" t="s">
        <v>555</v>
      </c>
    </row>
    <row r="176" spans="2:12" x14ac:dyDescent="0.2">
      <c r="B176" s="197" t="s">
        <v>568</v>
      </c>
      <c r="C176" s="2"/>
    </row>
    <row r="178" spans="2:2" x14ac:dyDescent="0.2">
      <c r="B178" s="196" t="s">
        <v>556</v>
      </c>
    </row>
    <row r="179" spans="2:2" x14ac:dyDescent="0.2">
      <c r="B179" s="197" t="s">
        <v>569</v>
      </c>
    </row>
  </sheetData>
  <sheetProtection password="DC75" sheet="1" objects="1" scenarios="1"/>
  <protectedRanges>
    <protectedRange sqref="E9:E171" name="Rango28"/>
    <protectedRange sqref="B178:B179" name="Rango27"/>
    <protectedRange sqref="B175:B176" name="Rango26"/>
    <protectedRange sqref="C167:C171" name="Rango25"/>
    <protectedRange sqref="C161:C164" name="Rango24"/>
    <protectedRange sqref="C157:C159" name="Rango23"/>
    <protectedRange sqref="C150:C153" name="Rango22"/>
    <protectedRange sqref="C148" name="Rango21"/>
    <protectedRange sqref="C146" name="Rango20"/>
    <protectedRange sqref="C133:C144" name="Rango19"/>
    <protectedRange sqref="C126:C130" name="Rango18"/>
    <protectedRange sqref="C110:C123" name="Rango17"/>
    <protectedRange sqref="C104:C108" name="Rango16"/>
    <protectedRange sqref="C99:C101" name="Rango15"/>
    <protectedRange sqref="C94:C97" name="Rango14"/>
    <protectedRange sqref="C90:C92" name="Rango13"/>
    <protectedRange sqref="C77:C86" name="Rango12"/>
    <protectedRange sqref="C63:C73" name="Rango11"/>
    <protectedRange sqref="C57:C59" name="Rango10"/>
    <protectedRange sqref="C53:C55" name="Rango9"/>
    <protectedRange sqref="C44:C46" name="Rango7"/>
    <protectedRange sqref="C35:C42" name="Rango6"/>
    <protectedRange sqref="B6" name="Rango2"/>
    <protectedRange sqref="B4" name="Rango1"/>
    <protectedRange sqref="C10:C16" name="Rango3"/>
    <protectedRange sqref="C19" name="Rango4"/>
    <protectedRange sqref="C21:C31" name="Rango5"/>
    <protectedRange sqref="C48:C51" name="Rango8"/>
    <protectedRange sqref="F1:G65536" name="Rango29"/>
  </protectedRanges>
  <mergeCells count="3">
    <mergeCell ref="A1:C1"/>
    <mergeCell ref="A2:C2"/>
    <mergeCell ref="B154:B155"/>
  </mergeCells>
  <phoneticPr fontId="31" type="noConversion"/>
  <dataValidations count="5">
    <dataValidation type="list" allowBlank="1" showInputMessage="1" showErrorMessage="1" sqref="C153">
      <formula1>DatosContable</formula1>
    </dataValidation>
    <dataValidation type="list" allowBlank="1" showInputMessage="1" showErrorMessage="1" sqref="B6">
      <formula1>inst</formula1>
    </dataValidation>
    <dataValidation type="whole" allowBlank="1" showInputMessage="1" showErrorMessage="1" sqref="C133:C138 C140:C149 C156:C171">
      <formula1>0</formula1>
      <formula2>1E+30</formula2>
    </dataValidation>
    <dataValidation type="list" allowBlank="1" showInputMessage="1" showErrorMessage="1" sqref="C10:C12 C129:C130 C36:C42 C44:C46 C48 C50:C51 C53:C55 C16 C126:C127 C57 C79:C81 C84:C86 C90:C92 C94:C97 C99:C101 C118 C110:C112 C114:C116 C104:C106 C108">
      <formula1>sino</formula1>
    </dataValidation>
    <dataValidation type="list" allowBlank="1" showInputMessage="1" showErrorMessage="1" sqref="C128 C119:C123 C21:C31 C35 C49 C13:C15 C58:C59 C77:C78 C82:C83 C63:C73 C113 C117 C19 C107">
      <formula1>noap</formula1>
    </dataValidation>
  </dataValidations>
  <pageMargins left="0.75" right="0.75" top="1" bottom="1" header="0" footer="0"/>
  <pageSetup scale="4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2"/>
  <sheetViews>
    <sheetView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RowHeight="15" x14ac:dyDescent="0.2"/>
  <cols>
    <col min="1" max="1" width="6.7109375" style="2" customWidth="1"/>
    <col min="2" max="2" width="80" style="2" customWidth="1"/>
    <col min="3" max="3" width="29.85546875" style="65" customWidth="1"/>
    <col min="4" max="4" width="11.42578125" style="5"/>
    <col min="5" max="5" width="31" style="2" customWidth="1"/>
    <col min="6" max="8" width="11.42578125" style="2"/>
    <col min="9" max="9" width="14.85546875" style="2" customWidth="1"/>
    <col min="10" max="16384" width="11.42578125" style="2"/>
  </cols>
  <sheetData>
    <row r="1" spans="1:4" ht="20.25" x14ac:dyDescent="0.3">
      <c r="A1" s="266" t="s">
        <v>307</v>
      </c>
      <c r="B1" s="266"/>
      <c r="C1" s="266"/>
    </row>
    <row r="2" spans="1:4" x14ac:dyDescent="0.2">
      <c r="C2" s="2"/>
    </row>
    <row r="3" spans="1:4" ht="15" customHeight="1" x14ac:dyDescent="0.2">
      <c r="A3" s="8"/>
      <c r="B3" s="214" t="s">
        <v>308</v>
      </c>
      <c r="C3" s="215" t="str">
        <f>'Para-responder'!B4</f>
        <v>Ministerio de Justicia y Paz</v>
      </c>
      <c r="D3" s="2"/>
    </row>
    <row r="4" spans="1:4" x14ac:dyDescent="0.2">
      <c r="C4" s="2"/>
    </row>
    <row r="5" spans="1:4" x14ac:dyDescent="0.2">
      <c r="A5" s="8"/>
      <c r="B5" s="214" t="s">
        <v>309</v>
      </c>
      <c r="C5" s="215" t="s">
        <v>71</v>
      </c>
      <c r="D5" s="2"/>
    </row>
    <row r="6" spans="1:4" x14ac:dyDescent="0.2">
      <c r="A6" s="8"/>
      <c r="C6" s="9"/>
      <c r="D6" s="2"/>
    </row>
    <row r="7" spans="1:4" x14ac:dyDescent="0.25">
      <c r="A7" s="207" t="s">
        <v>239</v>
      </c>
      <c r="B7" s="207" t="s">
        <v>240</v>
      </c>
      <c r="C7" s="15" t="s">
        <v>312</v>
      </c>
    </row>
    <row r="8" spans="1:4" x14ac:dyDescent="0.25">
      <c r="A8" s="208"/>
      <c r="B8" s="208" t="s">
        <v>241</v>
      </c>
      <c r="C8" s="15"/>
    </row>
    <row r="9" spans="1:4" x14ac:dyDescent="0.25">
      <c r="A9" s="208"/>
      <c r="B9" s="208" t="s">
        <v>242</v>
      </c>
      <c r="C9" s="15"/>
    </row>
    <row r="10" spans="1:4" x14ac:dyDescent="0.2">
      <c r="A10" s="8"/>
      <c r="B10" s="8"/>
      <c r="C10" s="17"/>
    </row>
    <row r="11" spans="1:4" x14ac:dyDescent="0.2">
      <c r="A11" s="8"/>
      <c r="B11" s="21" t="s">
        <v>315</v>
      </c>
      <c r="C11" s="17"/>
    </row>
    <row r="12" spans="1:4" ht="25.5" x14ac:dyDescent="0.2">
      <c r="A12" s="13">
        <v>1</v>
      </c>
      <c r="B12" s="24" t="s">
        <v>317</v>
      </c>
      <c r="C12" s="25" t="str">
        <f>'Para-responder'!C10</f>
        <v>SI</v>
      </c>
    </row>
    <row r="13" spans="1:4" ht="25.5" x14ac:dyDescent="0.2">
      <c r="A13" s="13">
        <v>2</v>
      </c>
      <c r="B13" s="27" t="s">
        <v>320</v>
      </c>
      <c r="C13" s="25" t="str">
        <f>'Para-responder'!C11</f>
        <v>SI</v>
      </c>
    </row>
    <row r="14" spans="1:4" x14ac:dyDescent="0.2">
      <c r="A14" s="13">
        <v>3</v>
      </c>
      <c r="B14" s="27" t="s">
        <v>322</v>
      </c>
      <c r="C14" s="25" t="str">
        <f>'Para-responder'!C12</f>
        <v>SI</v>
      </c>
    </row>
    <row r="15" spans="1:4" ht="25.5" x14ac:dyDescent="0.2">
      <c r="A15" s="13">
        <v>4</v>
      </c>
      <c r="B15" s="27" t="s">
        <v>324</v>
      </c>
      <c r="C15" s="25" t="str">
        <f>'Para-responder'!C13</f>
        <v>SI</v>
      </c>
    </row>
    <row r="16" spans="1:4" x14ac:dyDescent="0.2">
      <c r="A16" s="13">
        <v>5</v>
      </c>
      <c r="B16" s="33" t="s">
        <v>326</v>
      </c>
      <c r="C16" s="25" t="str">
        <f>'Para-responder'!C14</f>
        <v>SI</v>
      </c>
    </row>
    <row r="17" spans="1:3" ht="25.5" x14ac:dyDescent="0.2">
      <c r="A17" s="13">
        <v>6</v>
      </c>
      <c r="B17" s="28" t="s">
        <v>328</v>
      </c>
      <c r="C17" s="25" t="str">
        <f>'Para-responder'!C15</f>
        <v>SI</v>
      </c>
    </row>
    <row r="18" spans="1:3" ht="25.5" x14ac:dyDescent="0.2">
      <c r="A18" s="13">
        <v>7</v>
      </c>
      <c r="B18" s="28" t="s">
        <v>330</v>
      </c>
      <c r="C18" s="25" t="str">
        <f>'Para-responder'!C16</f>
        <v>SI</v>
      </c>
    </row>
    <row r="19" spans="1:3" x14ac:dyDescent="0.2">
      <c r="A19" s="13"/>
      <c r="B19" s="28"/>
      <c r="C19" s="25"/>
    </row>
    <row r="20" spans="1:3" x14ac:dyDescent="0.2">
      <c r="A20" s="203"/>
      <c r="B20" s="204" t="s">
        <v>228</v>
      </c>
      <c r="C20" s="205">
        <f>COUNTIF(C12:C18,"si")</f>
        <v>7</v>
      </c>
    </row>
    <row r="21" spans="1:3" x14ac:dyDescent="0.2">
      <c r="A21" s="203"/>
      <c r="B21" s="204" t="s">
        <v>229</v>
      </c>
      <c r="C21" s="205">
        <f>COUNTIF(C12:C18,"No")</f>
        <v>0</v>
      </c>
    </row>
    <row r="22" spans="1:3" x14ac:dyDescent="0.2">
      <c r="A22" s="203"/>
      <c r="B22" s="204" t="s">
        <v>230</v>
      </c>
      <c r="C22" s="205">
        <f>COUNTIF(C12:C18,"No APLICA")</f>
        <v>0</v>
      </c>
    </row>
    <row r="23" spans="1:3" x14ac:dyDescent="0.2">
      <c r="A23" s="206"/>
      <c r="B23" s="204" t="s">
        <v>231</v>
      </c>
      <c r="C23" s="205">
        <f>IF((SUM(C20:C22)-C22)=0,0,(C20*100/(SUM(C20:C22)-C22)))</f>
        <v>100</v>
      </c>
    </row>
    <row r="24" spans="1:3" x14ac:dyDescent="0.2">
      <c r="A24" s="8"/>
      <c r="B24" s="28"/>
      <c r="C24" s="25"/>
    </row>
    <row r="25" spans="1:3" ht="26.25" customHeight="1" x14ac:dyDescent="0.2">
      <c r="A25" s="8"/>
      <c r="B25" s="21" t="s">
        <v>332</v>
      </c>
      <c r="C25" s="25"/>
    </row>
    <row r="26" spans="1:3" ht="25.5" x14ac:dyDescent="0.2">
      <c r="A26" s="34">
        <v>8</v>
      </c>
      <c r="B26" s="33" t="s">
        <v>333</v>
      </c>
      <c r="C26" s="25" t="str">
        <f>'Para-responder'!C19</f>
        <v>NO APLICA</v>
      </c>
    </row>
    <row r="27" spans="1:3" ht="25.5" x14ac:dyDescent="0.2">
      <c r="A27" s="13">
        <v>9</v>
      </c>
      <c r="B27" s="33" t="s">
        <v>335</v>
      </c>
      <c r="C27" s="25"/>
    </row>
    <row r="28" spans="1:3" x14ac:dyDescent="0.2">
      <c r="A28" s="8"/>
      <c r="B28" s="35" t="s">
        <v>336</v>
      </c>
      <c r="C28" s="25" t="str">
        <f>'Para-responder'!C21</f>
        <v>NO APLICA</v>
      </c>
    </row>
    <row r="29" spans="1:3" x14ac:dyDescent="0.2">
      <c r="A29" s="8"/>
      <c r="B29" s="35" t="s">
        <v>338</v>
      </c>
      <c r="C29" s="25" t="str">
        <f>'Para-responder'!C22</f>
        <v>NO APLICA</v>
      </c>
    </row>
    <row r="30" spans="1:3" x14ac:dyDescent="0.2">
      <c r="A30" s="8"/>
      <c r="B30" s="35" t="s">
        <v>339</v>
      </c>
      <c r="C30" s="25" t="str">
        <f>'Para-responder'!C23</f>
        <v>NO APLICA</v>
      </c>
    </row>
    <row r="31" spans="1:3" x14ac:dyDescent="0.2">
      <c r="A31" s="8"/>
      <c r="B31" s="35" t="s">
        <v>340</v>
      </c>
      <c r="C31" s="25" t="str">
        <f>'Para-responder'!C24</f>
        <v>NO APLICA</v>
      </c>
    </row>
    <row r="32" spans="1:3" ht="25.5" x14ac:dyDescent="0.2">
      <c r="A32" s="13">
        <v>10</v>
      </c>
      <c r="B32" s="33" t="s">
        <v>341</v>
      </c>
      <c r="C32" s="25" t="str">
        <f>'Para-responder'!C25</f>
        <v>NO APLICA</v>
      </c>
    </row>
    <row r="33" spans="1:4" ht="25.5" x14ac:dyDescent="0.2">
      <c r="A33" s="13">
        <v>11</v>
      </c>
      <c r="B33" s="33" t="s">
        <v>365</v>
      </c>
      <c r="C33" s="25" t="str">
        <f>'Para-responder'!C26</f>
        <v>NO APLICA</v>
      </c>
    </row>
    <row r="34" spans="1:4" ht="38.25" x14ac:dyDescent="0.2">
      <c r="A34" s="13">
        <v>12</v>
      </c>
      <c r="B34" s="33" t="s">
        <v>367</v>
      </c>
      <c r="C34" s="25" t="str">
        <f>'Para-responder'!C27</f>
        <v>NO APLICA</v>
      </c>
    </row>
    <row r="35" spans="1:4" ht="25.5" x14ac:dyDescent="0.2">
      <c r="A35" s="13">
        <v>13</v>
      </c>
      <c r="B35" s="28" t="s">
        <v>369</v>
      </c>
      <c r="C35" s="25" t="str">
        <f>'Para-responder'!C28</f>
        <v>NO APLICA</v>
      </c>
    </row>
    <row r="36" spans="1:4" x14ac:dyDescent="0.2">
      <c r="A36" s="13">
        <v>14</v>
      </c>
      <c r="B36" s="36" t="s">
        <v>370</v>
      </c>
      <c r="C36" s="25" t="str">
        <f>'Para-responder'!C29</f>
        <v>NO APLICA</v>
      </c>
    </row>
    <row r="37" spans="1:4" ht="25.5" x14ac:dyDescent="0.2">
      <c r="A37" s="13">
        <v>15</v>
      </c>
      <c r="B37" s="36" t="s">
        <v>372</v>
      </c>
      <c r="C37" s="25" t="str">
        <f>'Para-responder'!C30</f>
        <v>NO APLICA</v>
      </c>
    </row>
    <row r="38" spans="1:4" ht="24" customHeight="1" x14ac:dyDescent="0.2">
      <c r="A38" s="13">
        <v>16</v>
      </c>
      <c r="B38" s="36" t="s">
        <v>375</v>
      </c>
      <c r="C38" s="25" t="str">
        <f>'Para-responder'!C31</f>
        <v>NO APLICA</v>
      </c>
    </row>
    <row r="39" spans="1:4" x14ac:dyDescent="0.2">
      <c r="A39" s="8"/>
      <c r="B39" s="8"/>
      <c r="C39" s="17"/>
    </row>
    <row r="40" spans="1:4" x14ac:dyDescent="0.2">
      <c r="A40" s="8"/>
      <c r="B40" s="204" t="s">
        <v>228</v>
      </c>
      <c r="C40" s="205">
        <f>COUNTIF(C26:C38,"si")</f>
        <v>0</v>
      </c>
    </row>
    <row r="41" spans="1:4" x14ac:dyDescent="0.2">
      <c r="A41" s="8"/>
      <c r="B41" s="204" t="s">
        <v>229</v>
      </c>
      <c r="C41" s="205">
        <f>COUNTIF(C26:C38,"No")</f>
        <v>0</v>
      </c>
    </row>
    <row r="42" spans="1:4" ht="12.75" x14ac:dyDescent="0.2">
      <c r="A42" s="8"/>
      <c r="B42" s="204" t="s">
        <v>230</v>
      </c>
      <c r="C42" s="205">
        <f>COUNTIF(C26:C38,"No APLICA")</f>
        <v>12</v>
      </c>
      <c r="D42" s="2"/>
    </row>
    <row r="43" spans="1:4" ht="12.75" x14ac:dyDescent="0.2">
      <c r="A43" s="8"/>
      <c r="B43" s="204" t="s">
        <v>232</v>
      </c>
      <c r="C43" s="205">
        <f>IF((SUM(C40:C42)-C42)=0,0,(C40*100/(SUM(C40:C42)-C42)))</f>
        <v>0</v>
      </c>
      <c r="D43" s="2"/>
    </row>
    <row r="44" spans="1:4" x14ac:dyDescent="0.2">
      <c r="A44" s="8"/>
      <c r="B44" s="8"/>
      <c r="C44" s="17"/>
    </row>
    <row r="45" spans="1:4" ht="12.75" x14ac:dyDescent="0.2">
      <c r="A45" s="8"/>
      <c r="B45" s="21" t="s">
        <v>377</v>
      </c>
      <c r="C45" s="17"/>
      <c r="D45" s="2"/>
    </row>
    <row r="46" spans="1:4" ht="12.75" x14ac:dyDescent="0.2">
      <c r="A46" s="8"/>
      <c r="B46" s="183" t="s">
        <v>378</v>
      </c>
      <c r="C46" s="38"/>
      <c r="D46" s="2"/>
    </row>
    <row r="47" spans="1:4" ht="12.75" x14ac:dyDescent="0.2">
      <c r="A47" s="13">
        <v>17</v>
      </c>
      <c r="B47" s="39" t="s">
        <v>379</v>
      </c>
      <c r="C47" s="25" t="str">
        <f>'Para-responder'!C35</f>
        <v>SI</v>
      </c>
      <c r="D47" s="2"/>
    </row>
    <row r="48" spans="1:4" ht="12.75" x14ac:dyDescent="0.2">
      <c r="A48" s="13">
        <v>18</v>
      </c>
      <c r="B48" s="39" t="s">
        <v>381</v>
      </c>
      <c r="C48" s="25" t="str">
        <f>'Para-responder'!C36</f>
        <v>NO</v>
      </c>
      <c r="D48" s="2"/>
    </row>
    <row r="49" spans="1:4" ht="25.5" x14ac:dyDescent="0.2">
      <c r="A49" s="13">
        <v>19</v>
      </c>
      <c r="B49" s="39" t="s">
        <v>383</v>
      </c>
      <c r="C49" s="25" t="str">
        <f>'Para-responder'!C37</f>
        <v>SI</v>
      </c>
    </row>
    <row r="50" spans="1:4" x14ac:dyDescent="0.2">
      <c r="A50" s="13">
        <v>20</v>
      </c>
      <c r="B50" s="39" t="s">
        <v>385</v>
      </c>
      <c r="C50" s="25" t="str">
        <f>'Para-responder'!C38</f>
        <v>SI</v>
      </c>
    </row>
    <row r="51" spans="1:4" ht="25.5" x14ac:dyDescent="0.2">
      <c r="A51" s="13">
        <v>21</v>
      </c>
      <c r="B51" s="39" t="s">
        <v>387</v>
      </c>
      <c r="C51" s="25" t="str">
        <f>'Para-responder'!C39</f>
        <v>SI</v>
      </c>
      <c r="D51" s="2"/>
    </row>
    <row r="52" spans="1:4" ht="38.25" x14ac:dyDescent="0.2">
      <c r="A52" s="13">
        <v>22</v>
      </c>
      <c r="B52" s="39" t="s">
        <v>389</v>
      </c>
      <c r="C52" s="25" t="str">
        <f>'Para-responder'!C40</f>
        <v>SI</v>
      </c>
      <c r="D52" s="2"/>
    </row>
    <row r="53" spans="1:4" ht="38.25" x14ac:dyDescent="0.2">
      <c r="A53" s="13">
        <v>23</v>
      </c>
      <c r="B53" s="36" t="s">
        <v>391</v>
      </c>
      <c r="C53" s="25" t="str">
        <f>'Para-responder'!C41</f>
        <v>NO</v>
      </c>
      <c r="D53" s="2"/>
    </row>
    <row r="54" spans="1:4" x14ac:dyDescent="0.2">
      <c r="A54" s="13">
        <v>24</v>
      </c>
      <c r="B54" s="181" t="s">
        <v>302</v>
      </c>
      <c r="C54" s="25" t="str">
        <f>'Para-responder'!C42</f>
        <v>SI</v>
      </c>
    </row>
    <row r="55" spans="1:4" ht="12.75" x14ac:dyDescent="0.2">
      <c r="A55" s="8"/>
      <c r="B55" s="184" t="s">
        <v>396</v>
      </c>
      <c r="C55" s="25">
        <f>'Para-responder'!C43</f>
        <v>0</v>
      </c>
      <c r="D55" s="2"/>
    </row>
    <row r="56" spans="1:4" ht="25.5" x14ac:dyDescent="0.2">
      <c r="A56" s="13">
        <v>25</v>
      </c>
      <c r="B56" s="39" t="s">
        <v>397</v>
      </c>
      <c r="C56" s="25" t="str">
        <f>'Para-responder'!C44</f>
        <v>SI</v>
      </c>
      <c r="D56" s="2"/>
    </row>
    <row r="57" spans="1:4" ht="25.5" x14ac:dyDescent="0.2">
      <c r="A57" s="13">
        <v>26</v>
      </c>
      <c r="B57" s="39" t="s">
        <v>399</v>
      </c>
      <c r="C57" s="25" t="str">
        <f>'Para-responder'!C45</f>
        <v>SI</v>
      </c>
      <c r="D57" s="2"/>
    </row>
    <row r="58" spans="1:4" ht="38.25" x14ac:dyDescent="0.2">
      <c r="A58" s="13">
        <v>27</v>
      </c>
      <c r="B58" s="42" t="s">
        <v>401</v>
      </c>
      <c r="C58" s="25" t="str">
        <f>'Para-responder'!C46</f>
        <v>NO</v>
      </c>
      <c r="D58" s="2"/>
    </row>
    <row r="59" spans="1:4" ht="12.75" x14ac:dyDescent="0.2">
      <c r="A59" s="8"/>
      <c r="B59" s="184" t="s">
        <v>403</v>
      </c>
      <c r="C59" s="38"/>
      <c r="D59" s="2"/>
    </row>
    <row r="60" spans="1:4" ht="25.5" x14ac:dyDescent="0.2">
      <c r="A60" s="13">
        <v>28</v>
      </c>
      <c r="B60" s="182" t="s">
        <v>404</v>
      </c>
      <c r="C60" s="25" t="str">
        <f>'Para-responder'!C48</f>
        <v>SI</v>
      </c>
      <c r="D60" s="2"/>
    </row>
    <row r="61" spans="1:4" ht="25.5" x14ac:dyDescent="0.2">
      <c r="A61" s="13">
        <v>29</v>
      </c>
      <c r="B61" s="39" t="s">
        <v>406</v>
      </c>
      <c r="C61" s="25" t="str">
        <f>'Para-responder'!C49</f>
        <v>NO APLICA</v>
      </c>
      <c r="D61" s="2"/>
    </row>
    <row r="62" spans="1:4" ht="25.5" x14ac:dyDescent="0.2">
      <c r="A62" s="13">
        <v>30</v>
      </c>
      <c r="B62" s="39" t="s">
        <v>408</v>
      </c>
      <c r="C62" s="25" t="str">
        <f>'Para-responder'!C50</f>
        <v>SI</v>
      </c>
    </row>
    <row r="63" spans="1:4" ht="25.5" x14ac:dyDescent="0.2">
      <c r="A63" s="13">
        <v>31</v>
      </c>
      <c r="B63" s="39" t="s">
        <v>410</v>
      </c>
      <c r="C63" s="25" t="str">
        <f>'Para-responder'!C51</f>
        <v>SI</v>
      </c>
    </row>
    <row r="64" spans="1:4" x14ac:dyDescent="0.2">
      <c r="A64" s="8"/>
      <c r="B64" s="184" t="s">
        <v>412</v>
      </c>
      <c r="C64" s="38"/>
    </row>
    <row r="65" spans="1:3" x14ac:dyDescent="0.2">
      <c r="A65" s="13">
        <v>32</v>
      </c>
      <c r="B65" s="39" t="s">
        <v>413</v>
      </c>
      <c r="C65" s="25" t="str">
        <f>'Para-responder'!C53</f>
        <v>SI</v>
      </c>
    </row>
    <row r="66" spans="1:3" ht="38.25" x14ac:dyDescent="0.2">
      <c r="A66" s="13">
        <v>33</v>
      </c>
      <c r="B66" s="36" t="s">
        <v>415</v>
      </c>
      <c r="C66" s="25" t="str">
        <f>'Para-responder'!C54</f>
        <v>SI</v>
      </c>
    </row>
    <row r="67" spans="1:3" ht="25.5" x14ac:dyDescent="0.2">
      <c r="A67" s="13">
        <v>34</v>
      </c>
      <c r="B67" s="36" t="s">
        <v>417</v>
      </c>
      <c r="C67" s="25" t="str">
        <f>'Para-responder'!C55</f>
        <v>SI</v>
      </c>
    </row>
    <row r="68" spans="1:3" x14ac:dyDescent="0.2">
      <c r="A68" s="13"/>
      <c r="B68" s="183" t="s">
        <v>419</v>
      </c>
      <c r="C68" s="38"/>
    </row>
    <row r="69" spans="1:3" ht="25.5" x14ac:dyDescent="0.2">
      <c r="A69" s="13">
        <v>35</v>
      </c>
      <c r="B69" s="36" t="s">
        <v>420</v>
      </c>
      <c r="C69" s="25" t="str">
        <f>'Para-responder'!C57</f>
        <v>NO</v>
      </c>
    </row>
    <row r="70" spans="1:3" ht="25.5" x14ac:dyDescent="0.2">
      <c r="A70" s="13">
        <v>36</v>
      </c>
      <c r="B70" s="36" t="s">
        <v>422</v>
      </c>
      <c r="C70" s="25" t="str">
        <f>'Para-responder'!C58</f>
        <v>NO APLICA</v>
      </c>
    </row>
    <row r="71" spans="1:3" ht="25.5" x14ac:dyDescent="0.2">
      <c r="A71" s="13">
        <v>37</v>
      </c>
      <c r="B71" s="36" t="s">
        <v>424</v>
      </c>
      <c r="C71" s="25" t="str">
        <f>'Para-responder'!C59</f>
        <v>SI</v>
      </c>
    </row>
    <row r="72" spans="1:3" x14ac:dyDescent="0.2">
      <c r="A72" s="13"/>
      <c r="B72" s="36"/>
      <c r="C72" s="25"/>
    </row>
    <row r="73" spans="1:3" x14ac:dyDescent="0.2">
      <c r="A73" s="13"/>
      <c r="B73" s="204" t="s">
        <v>228</v>
      </c>
      <c r="C73" s="205">
        <f>COUNTIF(C47:C71,"si")</f>
        <v>15</v>
      </c>
    </row>
    <row r="74" spans="1:3" x14ac:dyDescent="0.2">
      <c r="A74" s="13"/>
      <c r="B74" s="204" t="s">
        <v>229</v>
      </c>
      <c r="C74" s="205">
        <f>COUNTIF(C47:C71,"No")</f>
        <v>4</v>
      </c>
    </row>
    <row r="75" spans="1:3" x14ac:dyDescent="0.2">
      <c r="A75" s="13"/>
      <c r="B75" s="204" t="s">
        <v>230</v>
      </c>
      <c r="C75" s="205">
        <f>COUNTIF(C47:C71,"No APLICA")</f>
        <v>2</v>
      </c>
    </row>
    <row r="76" spans="1:3" x14ac:dyDescent="0.2">
      <c r="A76" s="13"/>
      <c r="B76" s="204" t="s">
        <v>233</v>
      </c>
      <c r="C76" s="205">
        <f>IF((SUM(C73:C75)-C75)=0,0,(C73*100/(SUM(C73:C75)-C75)))</f>
        <v>78.94736842105263</v>
      </c>
    </row>
    <row r="77" spans="1:3" x14ac:dyDescent="0.2">
      <c r="A77" s="8"/>
      <c r="B77" s="28"/>
      <c r="C77" s="17"/>
    </row>
    <row r="78" spans="1:3" x14ac:dyDescent="0.2">
      <c r="A78" s="8"/>
      <c r="B78" s="21" t="s">
        <v>426</v>
      </c>
      <c r="C78" s="17"/>
    </row>
    <row r="79" spans="1:3" ht="25.5" x14ac:dyDescent="0.2">
      <c r="A79" s="13">
        <v>38</v>
      </c>
      <c r="B79" s="39" t="s">
        <v>427</v>
      </c>
      <c r="C79" s="17"/>
    </row>
    <row r="80" spans="1:3" x14ac:dyDescent="0.2">
      <c r="A80" s="13"/>
      <c r="B80" s="44" t="s">
        <v>428</v>
      </c>
      <c r="C80" s="25" t="str">
        <f>'Para-responder'!C63</f>
        <v>SI</v>
      </c>
    </row>
    <row r="81" spans="1:3" x14ac:dyDescent="0.2">
      <c r="A81" s="13"/>
      <c r="B81" s="44" t="s">
        <v>430</v>
      </c>
      <c r="C81" s="25" t="str">
        <f>'Para-responder'!C64</f>
        <v>SI</v>
      </c>
    </row>
    <row r="82" spans="1:3" x14ac:dyDescent="0.2">
      <c r="A82" s="13"/>
      <c r="B82" s="44" t="s">
        <v>432</v>
      </c>
      <c r="C82" s="25" t="str">
        <f>'Para-responder'!C65</f>
        <v>SI</v>
      </c>
    </row>
    <row r="83" spans="1:3" x14ac:dyDescent="0.2">
      <c r="A83" s="13"/>
      <c r="B83" s="44" t="s">
        <v>434</v>
      </c>
      <c r="C83" s="25" t="str">
        <f>'Para-responder'!C66</f>
        <v>SI</v>
      </c>
    </row>
    <row r="84" spans="1:3" ht="25.5" x14ac:dyDescent="0.2">
      <c r="A84" s="13">
        <v>39</v>
      </c>
      <c r="B84" s="39" t="s">
        <v>436</v>
      </c>
      <c r="C84" s="25" t="str">
        <f>'Para-responder'!C67</f>
        <v>SI</v>
      </c>
    </row>
    <row r="85" spans="1:3" x14ac:dyDescent="0.2">
      <c r="A85" s="13">
        <v>40</v>
      </c>
      <c r="B85" s="39" t="s">
        <v>438</v>
      </c>
      <c r="C85" s="25" t="str">
        <f>'Para-responder'!C68</f>
        <v>SI</v>
      </c>
    </row>
    <row r="86" spans="1:3" ht="25.5" x14ac:dyDescent="0.2">
      <c r="A86" s="13">
        <v>41</v>
      </c>
      <c r="B86" s="39" t="s">
        <v>440</v>
      </c>
      <c r="C86" s="25" t="str">
        <f>'Para-responder'!C69</f>
        <v>SI</v>
      </c>
    </row>
    <row r="87" spans="1:3" ht="25.5" x14ac:dyDescent="0.2">
      <c r="A87" s="13">
        <v>42</v>
      </c>
      <c r="B87" s="39" t="s">
        <v>442</v>
      </c>
      <c r="C87" s="25" t="str">
        <f>'Para-responder'!C70</f>
        <v>SI</v>
      </c>
    </row>
    <row r="88" spans="1:3" ht="25.5" x14ac:dyDescent="0.2">
      <c r="A88" s="13">
        <v>43</v>
      </c>
      <c r="B88" s="36" t="s">
        <v>444</v>
      </c>
      <c r="C88" s="25" t="str">
        <f>'Para-responder'!C71</f>
        <v>SI</v>
      </c>
    </row>
    <row r="89" spans="1:3" x14ac:dyDescent="0.2">
      <c r="A89" s="13">
        <v>44</v>
      </c>
      <c r="B89" s="36" t="s">
        <v>446</v>
      </c>
      <c r="C89" s="25" t="str">
        <f>'Para-responder'!C72</f>
        <v>NO APLICA</v>
      </c>
    </row>
    <row r="90" spans="1:3" ht="25.5" x14ac:dyDescent="0.2">
      <c r="A90" s="13">
        <v>45</v>
      </c>
      <c r="B90" s="36" t="s">
        <v>448</v>
      </c>
      <c r="C90" s="25" t="str">
        <f>'Para-responder'!C73</f>
        <v>SI</v>
      </c>
    </row>
    <row r="91" spans="1:3" x14ac:dyDescent="0.2">
      <c r="A91" s="13"/>
      <c r="B91" s="36"/>
      <c r="C91" s="25"/>
    </row>
    <row r="92" spans="1:3" x14ac:dyDescent="0.2">
      <c r="A92" s="13"/>
      <c r="B92" s="204" t="s">
        <v>228</v>
      </c>
      <c r="C92" s="205">
        <f>COUNTIF(C80:C90,"si")</f>
        <v>10</v>
      </c>
    </row>
    <row r="93" spans="1:3" x14ac:dyDescent="0.2">
      <c r="A93" s="13"/>
      <c r="B93" s="204" t="s">
        <v>229</v>
      </c>
      <c r="C93" s="205">
        <f>COUNTIF(C80:C90,"No")</f>
        <v>0</v>
      </c>
    </row>
    <row r="94" spans="1:3" x14ac:dyDescent="0.2">
      <c r="A94" s="13"/>
      <c r="B94" s="204" t="s">
        <v>230</v>
      </c>
      <c r="C94" s="205">
        <f>COUNTIF(C80:C90,"No APLICA")</f>
        <v>1</v>
      </c>
    </row>
    <row r="95" spans="1:3" x14ac:dyDescent="0.2">
      <c r="A95" s="13"/>
      <c r="B95" s="204" t="s">
        <v>234</v>
      </c>
      <c r="C95" s="205">
        <f>IF((SUM(C92:C94)-C94)=0,0,(C92*100/(SUM(C92:C94)-C94)))</f>
        <v>100</v>
      </c>
    </row>
    <row r="96" spans="1:3" x14ac:dyDescent="0.2">
      <c r="A96" s="8"/>
      <c r="B96" s="8"/>
      <c r="C96" s="17"/>
    </row>
    <row r="97" spans="1:3" x14ac:dyDescent="0.2">
      <c r="A97" s="8"/>
      <c r="B97" s="21" t="s">
        <v>450</v>
      </c>
      <c r="C97" s="17"/>
    </row>
    <row r="98" spans="1:3" x14ac:dyDescent="0.2">
      <c r="A98" s="13">
        <v>46</v>
      </c>
      <c r="B98" s="33" t="s">
        <v>451</v>
      </c>
      <c r="C98" s="17"/>
    </row>
    <row r="99" spans="1:3" x14ac:dyDescent="0.2">
      <c r="A99" s="8"/>
      <c r="B99" s="35" t="s">
        <v>452</v>
      </c>
      <c r="C99" s="25" t="str">
        <f>'Para-responder'!C77</f>
        <v>SI</v>
      </c>
    </row>
    <row r="100" spans="1:3" ht="25.5" x14ac:dyDescent="0.2">
      <c r="A100" s="8"/>
      <c r="B100" s="35" t="s">
        <v>455</v>
      </c>
      <c r="C100" s="25" t="str">
        <f>'Para-responder'!C78</f>
        <v>SI</v>
      </c>
    </row>
    <row r="101" spans="1:3" x14ac:dyDescent="0.2">
      <c r="A101" s="13">
        <v>47</v>
      </c>
      <c r="B101" s="33" t="s">
        <v>457</v>
      </c>
      <c r="C101" s="25" t="str">
        <f>'Para-responder'!C79</f>
        <v>SI</v>
      </c>
    </row>
    <row r="102" spans="1:3" x14ac:dyDescent="0.2">
      <c r="A102" s="13">
        <v>48</v>
      </c>
      <c r="B102" s="33" t="s">
        <v>459</v>
      </c>
      <c r="C102" s="25" t="str">
        <f>'Para-responder'!C80</f>
        <v>SI</v>
      </c>
    </row>
    <row r="103" spans="1:3" ht="25.5" x14ac:dyDescent="0.2">
      <c r="A103" s="13">
        <v>49</v>
      </c>
      <c r="B103" s="36" t="s">
        <v>461</v>
      </c>
      <c r="C103" s="25" t="str">
        <f>'Para-responder'!C81</f>
        <v>SI</v>
      </c>
    </row>
    <row r="104" spans="1:3" ht="25.5" x14ac:dyDescent="0.2">
      <c r="A104" s="13">
        <v>50</v>
      </c>
      <c r="B104" s="36" t="s">
        <v>464</v>
      </c>
      <c r="C104" s="25" t="str">
        <f>'Para-responder'!C82</f>
        <v>NO APLICA</v>
      </c>
    </row>
    <row r="105" spans="1:3" ht="51" x14ac:dyDescent="0.2">
      <c r="A105" s="13">
        <v>51</v>
      </c>
      <c r="B105" s="36" t="s">
        <v>466</v>
      </c>
      <c r="C105" s="25" t="str">
        <f>'Para-responder'!C83</f>
        <v>NO APLICA</v>
      </c>
    </row>
    <row r="106" spans="1:3" x14ac:dyDescent="0.2">
      <c r="A106" s="13">
        <v>52</v>
      </c>
      <c r="B106" s="36" t="s">
        <v>467</v>
      </c>
      <c r="C106" s="25" t="str">
        <f>'Para-responder'!C84</f>
        <v>SI</v>
      </c>
    </row>
    <row r="107" spans="1:3" x14ac:dyDescent="0.2">
      <c r="A107" s="13">
        <v>53</v>
      </c>
      <c r="B107" s="36" t="s">
        <v>469</v>
      </c>
      <c r="C107" s="25" t="str">
        <f>'Para-responder'!C85</f>
        <v>SI</v>
      </c>
    </row>
    <row r="108" spans="1:3" ht="25.5" x14ac:dyDescent="0.2">
      <c r="A108" s="13">
        <v>54</v>
      </c>
      <c r="B108" s="36" t="s">
        <v>471</v>
      </c>
      <c r="C108" s="25" t="str">
        <f>'Para-responder'!C86</f>
        <v>SI</v>
      </c>
    </row>
    <row r="109" spans="1:3" x14ac:dyDescent="0.2">
      <c r="A109" s="13"/>
      <c r="B109" s="36"/>
      <c r="C109" s="25"/>
    </row>
    <row r="110" spans="1:3" x14ac:dyDescent="0.2">
      <c r="A110" s="13"/>
      <c r="B110" s="204" t="s">
        <v>228</v>
      </c>
      <c r="C110" s="205">
        <f>COUNTIF(C99:C108,"si")</f>
        <v>8</v>
      </c>
    </row>
    <row r="111" spans="1:3" x14ac:dyDescent="0.2">
      <c r="A111" s="13"/>
      <c r="B111" s="204" t="s">
        <v>229</v>
      </c>
      <c r="C111" s="205">
        <f>COUNTIF(C99:C108,"No")</f>
        <v>0</v>
      </c>
    </row>
    <row r="112" spans="1:3" x14ac:dyDescent="0.2">
      <c r="A112" s="13"/>
      <c r="B112" s="204" t="s">
        <v>230</v>
      </c>
      <c r="C112" s="205">
        <f>COUNTIF(C99:C108,"No APLICA")</f>
        <v>2</v>
      </c>
    </row>
    <row r="113" spans="1:3" x14ac:dyDescent="0.2">
      <c r="A113" s="13"/>
      <c r="B113" s="204" t="s">
        <v>235</v>
      </c>
      <c r="C113" s="205">
        <f>IF((SUM(C110:C112)-C112)=0,0,(C110*100/(SUM(C110:C112)-C112)))</f>
        <v>100</v>
      </c>
    </row>
    <row r="114" spans="1:3" x14ac:dyDescent="0.2">
      <c r="A114" s="8"/>
      <c r="B114" s="46"/>
      <c r="C114" s="17"/>
    </row>
    <row r="115" spans="1:3" x14ac:dyDescent="0.2">
      <c r="A115" s="8"/>
      <c r="B115" s="21" t="s">
        <v>473</v>
      </c>
      <c r="C115" s="17"/>
    </row>
    <row r="116" spans="1:3" x14ac:dyDescent="0.2">
      <c r="A116" s="13">
        <v>55</v>
      </c>
      <c r="B116" s="33" t="s">
        <v>474</v>
      </c>
      <c r="C116" s="17"/>
    </row>
    <row r="117" spans="1:3" ht="25.5" x14ac:dyDescent="0.2">
      <c r="A117" s="13"/>
      <c r="B117" s="33" t="s">
        <v>475</v>
      </c>
      <c r="C117" s="25" t="str">
        <f>'Para-responder'!C90</f>
        <v>NO</v>
      </c>
    </row>
    <row r="118" spans="1:3" ht="25.5" x14ac:dyDescent="0.2">
      <c r="A118" s="13"/>
      <c r="B118" s="33" t="s">
        <v>477</v>
      </c>
      <c r="C118" s="25" t="str">
        <f>'Para-responder'!C91</f>
        <v>NO</v>
      </c>
    </row>
    <row r="119" spans="1:3" ht="25.5" x14ac:dyDescent="0.2">
      <c r="A119" s="13"/>
      <c r="B119" s="33" t="s">
        <v>479</v>
      </c>
      <c r="C119" s="25" t="str">
        <f>'Para-responder'!C92</f>
        <v>NO</v>
      </c>
    </row>
    <row r="120" spans="1:3" ht="42" customHeight="1" x14ac:dyDescent="0.2">
      <c r="A120" s="13">
        <v>56</v>
      </c>
      <c r="B120" s="33" t="s">
        <v>481</v>
      </c>
      <c r="C120" s="17"/>
    </row>
    <row r="121" spans="1:3" x14ac:dyDescent="0.2">
      <c r="A121" s="13"/>
      <c r="B121" s="33" t="s">
        <v>482</v>
      </c>
      <c r="C121" s="25" t="str">
        <f>'Para-responder'!C94</f>
        <v>NO</v>
      </c>
    </row>
    <row r="122" spans="1:3" x14ac:dyDescent="0.2">
      <c r="A122" s="13"/>
      <c r="B122" s="33" t="s">
        <v>484</v>
      </c>
      <c r="C122" s="25" t="str">
        <f>'Para-responder'!C95</f>
        <v>NO</v>
      </c>
    </row>
    <row r="123" spans="1:3" ht="38.25" x14ac:dyDescent="0.2">
      <c r="A123" s="13">
        <v>57</v>
      </c>
      <c r="B123" s="33" t="s">
        <v>486</v>
      </c>
      <c r="C123" s="25" t="str">
        <f>'Para-responder'!C96</f>
        <v>NO</v>
      </c>
    </row>
    <row r="124" spans="1:3" ht="25.5" x14ac:dyDescent="0.2">
      <c r="A124" s="13">
        <v>58</v>
      </c>
      <c r="B124" s="33" t="s">
        <v>489</v>
      </c>
      <c r="C124" s="25" t="str">
        <f>'Para-responder'!C97</f>
        <v>SI</v>
      </c>
    </row>
    <row r="125" spans="1:3" ht="25.5" x14ac:dyDescent="0.2">
      <c r="A125" s="13">
        <v>59</v>
      </c>
      <c r="B125" s="39" t="s">
        <v>304</v>
      </c>
      <c r="C125" s="17"/>
    </row>
    <row r="126" spans="1:3" x14ac:dyDescent="0.2">
      <c r="A126" s="8"/>
      <c r="B126" s="185" t="s">
        <v>303</v>
      </c>
      <c r="C126" s="25" t="str">
        <f>'Para-responder'!C99</f>
        <v>SI</v>
      </c>
    </row>
    <row r="127" spans="1:3" x14ac:dyDescent="0.2">
      <c r="A127" s="8"/>
      <c r="B127" s="35" t="s">
        <v>493</v>
      </c>
      <c r="C127" s="25" t="str">
        <f>'Para-responder'!C100</f>
        <v>SI</v>
      </c>
    </row>
    <row r="128" spans="1:3" x14ac:dyDescent="0.2">
      <c r="A128" s="8"/>
      <c r="B128" s="185" t="s">
        <v>495</v>
      </c>
      <c r="C128" s="25" t="str">
        <f>'Para-responder'!C101</f>
        <v>NO</v>
      </c>
    </row>
    <row r="129" spans="1:3" x14ac:dyDescent="0.2">
      <c r="A129" s="8"/>
      <c r="B129" s="28"/>
      <c r="C129" s="17"/>
    </row>
    <row r="130" spans="1:3" x14ac:dyDescent="0.2">
      <c r="A130" s="8"/>
      <c r="B130" s="204" t="s">
        <v>228</v>
      </c>
      <c r="C130" s="205">
        <f>COUNTIF(C117:C128,"si")</f>
        <v>3</v>
      </c>
    </row>
    <row r="131" spans="1:3" x14ac:dyDescent="0.2">
      <c r="A131" s="8"/>
      <c r="B131" s="204" t="s">
        <v>229</v>
      </c>
      <c r="C131" s="205">
        <f>COUNTIF(C117:C128,"No")</f>
        <v>7</v>
      </c>
    </row>
    <row r="132" spans="1:3" x14ac:dyDescent="0.2">
      <c r="A132" s="8"/>
      <c r="B132" s="204" t="s">
        <v>230</v>
      </c>
      <c r="C132" s="205">
        <f>COUNTIF(C117:C128,"No APLICA")</f>
        <v>0</v>
      </c>
    </row>
    <row r="133" spans="1:3" x14ac:dyDescent="0.2">
      <c r="A133" s="8"/>
      <c r="B133" s="204" t="s">
        <v>236</v>
      </c>
      <c r="C133" s="205">
        <f>IF((SUM(C130:C132)-C132)=0,0,(C130*100/(SUM(C130:C132)-C132)))</f>
        <v>30</v>
      </c>
    </row>
    <row r="134" spans="1:3" x14ac:dyDescent="0.2">
      <c r="A134" s="8"/>
      <c r="B134" s="28"/>
      <c r="C134" s="17"/>
    </row>
    <row r="135" spans="1:3" x14ac:dyDescent="0.2">
      <c r="A135" s="8"/>
      <c r="B135" s="21" t="s">
        <v>496</v>
      </c>
      <c r="C135" s="17"/>
    </row>
    <row r="136" spans="1:3" ht="25.5" x14ac:dyDescent="0.2">
      <c r="A136" s="13">
        <v>60</v>
      </c>
      <c r="B136" s="39" t="s">
        <v>497</v>
      </c>
      <c r="C136" s="25" t="str">
        <f>'Para-responder'!C104</f>
        <v>SI</v>
      </c>
    </row>
    <row r="137" spans="1:3" ht="25.5" x14ac:dyDescent="0.2">
      <c r="A137" s="13">
        <v>61</v>
      </c>
      <c r="B137" s="39" t="s">
        <v>499</v>
      </c>
      <c r="C137" s="25" t="str">
        <f>'Para-responder'!C105</f>
        <v>SI</v>
      </c>
    </row>
    <row r="138" spans="1:3" x14ac:dyDescent="0.2">
      <c r="A138" s="13">
        <v>62</v>
      </c>
      <c r="B138" s="39" t="s">
        <v>501</v>
      </c>
      <c r="C138" s="25" t="str">
        <f>'Para-responder'!C106</f>
        <v>SI</v>
      </c>
    </row>
    <row r="139" spans="1:3" x14ac:dyDescent="0.2">
      <c r="A139" s="13">
        <v>63</v>
      </c>
      <c r="B139" s="39" t="s">
        <v>503</v>
      </c>
      <c r="C139" s="25" t="str">
        <f>'Para-responder'!C107</f>
        <v>SI</v>
      </c>
    </row>
    <row r="140" spans="1:3" x14ac:dyDescent="0.2">
      <c r="A140" s="13">
        <v>64</v>
      </c>
      <c r="B140" s="36" t="s">
        <v>505</v>
      </c>
      <c r="C140" s="25" t="str">
        <f>'Para-responder'!C108</f>
        <v>SI</v>
      </c>
    </row>
    <row r="141" spans="1:3" x14ac:dyDescent="0.2">
      <c r="A141" s="13">
        <v>65</v>
      </c>
      <c r="B141" s="36" t="s">
        <v>507</v>
      </c>
      <c r="C141" s="25"/>
    </row>
    <row r="142" spans="1:3" ht="25.5" x14ac:dyDescent="0.2">
      <c r="A142" s="8"/>
      <c r="B142" s="50" t="s">
        <v>508</v>
      </c>
      <c r="C142" s="25" t="str">
        <f>'Para-responder'!C110</f>
        <v>SI</v>
      </c>
    </row>
    <row r="143" spans="1:3" x14ac:dyDescent="0.2">
      <c r="A143" s="8"/>
      <c r="B143" s="50" t="s">
        <v>509</v>
      </c>
      <c r="C143" s="25" t="str">
        <f>'Para-responder'!C111</f>
        <v>SI</v>
      </c>
    </row>
    <row r="144" spans="1:3" x14ac:dyDescent="0.2">
      <c r="A144" s="8"/>
      <c r="B144" s="50" t="s">
        <v>510</v>
      </c>
      <c r="C144" s="25" t="str">
        <f>'Para-responder'!C112</f>
        <v>SI</v>
      </c>
    </row>
    <row r="145" spans="1:3" x14ac:dyDescent="0.2">
      <c r="A145" s="8"/>
      <c r="B145" s="50" t="s">
        <v>511</v>
      </c>
      <c r="C145" s="25" t="str">
        <f>'Para-responder'!C113</f>
        <v>NO APLICA</v>
      </c>
    </row>
    <row r="146" spans="1:3" ht="32.25" customHeight="1" x14ac:dyDescent="0.2">
      <c r="A146" s="8"/>
      <c r="B146" s="50" t="s">
        <v>2</v>
      </c>
      <c r="C146" s="25" t="str">
        <f>'Para-responder'!C114</f>
        <v>SI</v>
      </c>
    </row>
    <row r="147" spans="1:3" x14ac:dyDescent="0.2">
      <c r="A147" s="8"/>
      <c r="B147" s="50" t="s">
        <v>3</v>
      </c>
      <c r="C147" s="25" t="str">
        <f>'Para-responder'!C115</f>
        <v>SI</v>
      </c>
    </row>
    <row r="148" spans="1:3" x14ac:dyDescent="0.2">
      <c r="A148" s="8"/>
      <c r="B148" s="50" t="s">
        <v>4</v>
      </c>
      <c r="C148" s="25" t="str">
        <f>'Para-responder'!C116</f>
        <v>SI</v>
      </c>
    </row>
    <row r="149" spans="1:3" ht="25.5" x14ac:dyDescent="0.2">
      <c r="A149" s="8"/>
      <c r="B149" s="50" t="s">
        <v>5</v>
      </c>
      <c r="C149" s="25" t="str">
        <f>'Para-responder'!C117</f>
        <v>SI</v>
      </c>
    </row>
    <row r="150" spans="1:3" ht="25.5" x14ac:dyDescent="0.2">
      <c r="A150" s="8"/>
      <c r="B150" s="50" t="s">
        <v>6</v>
      </c>
      <c r="C150" s="25" t="str">
        <f>'Para-responder'!C118</f>
        <v>SI</v>
      </c>
    </row>
    <row r="151" spans="1:3" x14ac:dyDescent="0.2">
      <c r="A151" s="8"/>
      <c r="B151" s="50" t="s">
        <v>7</v>
      </c>
      <c r="C151" s="25" t="str">
        <f>'Para-responder'!C119</f>
        <v>NO</v>
      </c>
    </row>
    <row r="152" spans="1:3" x14ac:dyDescent="0.2">
      <c r="A152" s="13">
        <v>66</v>
      </c>
      <c r="B152" s="36" t="s">
        <v>8</v>
      </c>
      <c r="C152" s="25" t="str">
        <f>'Para-responder'!C120</f>
        <v>SI</v>
      </c>
    </row>
    <row r="153" spans="1:3" ht="25.5" x14ac:dyDescent="0.2">
      <c r="A153" s="13">
        <v>67</v>
      </c>
      <c r="B153" s="36" t="s">
        <v>9</v>
      </c>
      <c r="C153" s="25" t="str">
        <f>'Para-responder'!C121</f>
        <v>NO</v>
      </c>
    </row>
    <row r="154" spans="1:3" ht="25.5" x14ac:dyDescent="0.2">
      <c r="A154" s="13">
        <v>68</v>
      </c>
      <c r="B154" s="36" t="s">
        <v>11</v>
      </c>
      <c r="C154" s="25" t="str">
        <f>'Para-responder'!C122</f>
        <v>SI</v>
      </c>
    </row>
    <row r="155" spans="1:3" x14ac:dyDescent="0.2">
      <c r="A155" s="13">
        <v>69</v>
      </c>
      <c r="B155" s="36" t="s">
        <v>13</v>
      </c>
      <c r="C155" s="25" t="str">
        <f>'Para-responder'!C123</f>
        <v>SI</v>
      </c>
    </row>
    <row r="156" spans="1:3" x14ac:dyDescent="0.2">
      <c r="A156" s="13"/>
      <c r="B156" s="36"/>
      <c r="C156" s="25"/>
    </row>
    <row r="157" spans="1:3" x14ac:dyDescent="0.2">
      <c r="A157" s="13"/>
      <c r="B157" s="204" t="s">
        <v>228</v>
      </c>
      <c r="C157" s="205">
        <f>COUNTIF(C136:C155,"si")</f>
        <v>16</v>
      </c>
    </row>
    <row r="158" spans="1:3" x14ac:dyDescent="0.2">
      <c r="A158" s="13"/>
      <c r="B158" s="204" t="s">
        <v>229</v>
      </c>
      <c r="C158" s="205">
        <f>COUNTIF(C136:C155,"No")</f>
        <v>2</v>
      </c>
    </row>
    <row r="159" spans="1:3" x14ac:dyDescent="0.2">
      <c r="A159" s="13"/>
      <c r="B159" s="204" t="s">
        <v>230</v>
      </c>
      <c r="C159" s="205">
        <f>COUNTIF(C136:C155,"No APLICA")</f>
        <v>1</v>
      </c>
    </row>
    <row r="160" spans="1:3" x14ac:dyDescent="0.2">
      <c r="A160" s="13"/>
      <c r="B160" s="204" t="s">
        <v>237</v>
      </c>
      <c r="C160" s="205">
        <f>IF((SUM(C157:C159)-C159)=0,0,(C157*100/(SUM(C157:C159)-C159)))</f>
        <v>88.888888888888886</v>
      </c>
    </row>
    <row r="161" spans="1:3" x14ac:dyDescent="0.2">
      <c r="A161" s="13"/>
      <c r="B161" s="28"/>
      <c r="C161" s="17"/>
    </row>
    <row r="162" spans="1:3" x14ac:dyDescent="0.2">
      <c r="A162" s="8"/>
      <c r="B162" s="21" t="s">
        <v>14</v>
      </c>
      <c r="C162" s="17"/>
    </row>
    <row r="163" spans="1:3" x14ac:dyDescent="0.2">
      <c r="A163" s="13">
        <v>70</v>
      </c>
      <c r="B163" s="51" t="s">
        <v>15</v>
      </c>
      <c r="C163" s="25" t="str">
        <f>'Para-responder'!C126</f>
        <v>SI</v>
      </c>
    </row>
    <row r="164" spans="1:3" x14ac:dyDescent="0.2">
      <c r="A164" s="13">
        <v>71</v>
      </c>
      <c r="B164" s="51" t="s">
        <v>17</v>
      </c>
      <c r="C164" s="25" t="str">
        <f>'Para-responder'!C127</f>
        <v>NO</v>
      </c>
    </row>
    <row r="165" spans="1:3" ht="38.25" x14ac:dyDescent="0.2">
      <c r="A165" s="13">
        <v>72</v>
      </c>
      <c r="B165" s="39" t="s">
        <v>19</v>
      </c>
      <c r="C165" s="25" t="str">
        <f>'Para-responder'!C128</f>
        <v>SI</v>
      </c>
    </row>
    <row r="166" spans="1:3" ht="25.5" x14ac:dyDescent="0.2">
      <c r="A166" s="13">
        <v>73</v>
      </c>
      <c r="B166" s="36" t="s">
        <v>21</v>
      </c>
      <c r="C166" s="25" t="str">
        <f>'Para-responder'!C129</f>
        <v>NO</v>
      </c>
    </row>
    <row r="167" spans="1:3" x14ac:dyDescent="0.2">
      <c r="A167" s="13">
        <v>74</v>
      </c>
      <c r="B167" s="36" t="s">
        <v>23</v>
      </c>
      <c r="C167" s="25" t="str">
        <f>'Para-responder'!C130</f>
        <v>SI</v>
      </c>
    </row>
    <row r="168" spans="1:3" x14ac:dyDescent="0.2">
      <c r="A168" s="8"/>
      <c r="B168" s="53"/>
      <c r="C168" s="17"/>
    </row>
    <row r="169" spans="1:3" x14ac:dyDescent="0.2">
      <c r="B169" s="204" t="s">
        <v>228</v>
      </c>
      <c r="C169" s="205">
        <f>COUNTIF(C163:C167,"si")</f>
        <v>3</v>
      </c>
    </row>
    <row r="170" spans="1:3" x14ac:dyDescent="0.2">
      <c r="B170" s="204" t="s">
        <v>229</v>
      </c>
      <c r="C170" s="205">
        <f>COUNTIF(C163:C167,"No")</f>
        <v>2</v>
      </c>
    </row>
    <row r="171" spans="1:3" x14ac:dyDescent="0.2">
      <c r="B171" s="204" t="s">
        <v>230</v>
      </c>
      <c r="C171" s="205">
        <f>COUNTIF(C163:C167,"No APLICA")</f>
        <v>0</v>
      </c>
    </row>
    <row r="172" spans="1:3" x14ac:dyDescent="0.2">
      <c r="B172" s="204" t="s">
        <v>238</v>
      </c>
      <c r="C172" s="205">
        <f>IF((SUM(C169:C171)-C171)=0,0,(C169*100/(SUM(C169:C171)-C171)))</f>
        <v>60</v>
      </c>
    </row>
    <row r="176" spans="1:3" x14ac:dyDescent="0.2">
      <c r="A176" s="1"/>
      <c r="B176" s="204" t="s">
        <v>243</v>
      </c>
      <c r="C176" s="209">
        <f>C20+C40+C73+C92+C110+C130+C157+C169</f>
        <v>62</v>
      </c>
    </row>
    <row r="177" spans="1:3" x14ac:dyDescent="0.2">
      <c r="A177" s="1"/>
      <c r="B177" s="204" t="s">
        <v>244</v>
      </c>
      <c r="C177" s="209">
        <f>C21+C41+C74+C93+C111+C131+C158+C170</f>
        <v>15</v>
      </c>
    </row>
    <row r="178" spans="1:3" x14ac:dyDescent="0.2">
      <c r="A178" s="1"/>
      <c r="B178" s="204" t="s">
        <v>245</v>
      </c>
      <c r="C178" s="209">
        <f>C22+C42+C75+C94+C112+C132+C159+C171</f>
        <v>18</v>
      </c>
    </row>
    <row r="179" spans="1:3" x14ac:dyDescent="0.2">
      <c r="A179" s="1"/>
      <c r="B179" s="204" t="s">
        <v>246</v>
      </c>
      <c r="C179" s="209">
        <f>IF((SUM(C176:C178)-C178)=0,0,(C176*100/(SUM(C176:C178)-C178)))</f>
        <v>80.519480519480524</v>
      </c>
    </row>
    <row r="180" spans="1:3" x14ac:dyDescent="0.2">
      <c r="A180" s="1"/>
      <c r="B180" s="1"/>
      <c r="C180" s="17"/>
    </row>
    <row r="181" spans="1:3" x14ac:dyDescent="0.2">
      <c r="A181" s="1"/>
      <c r="B181" s="1"/>
      <c r="C181" s="17"/>
    </row>
    <row r="182" spans="1:3" x14ac:dyDescent="0.2">
      <c r="A182" s="1"/>
      <c r="B182" s="1"/>
      <c r="C182" s="17"/>
    </row>
    <row r="183" spans="1:3" x14ac:dyDescent="0.2">
      <c r="A183" s="1"/>
      <c r="B183" s="210" t="str">
        <f>B23</f>
        <v>Nota PLANIFICACIÓN</v>
      </c>
      <c r="C183" s="211">
        <f>C23</f>
        <v>100</v>
      </c>
    </row>
    <row r="184" spans="1:3" x14ac:dyDescent="0.2">
      <c r="A184" s="1"/>
      <c r="B184" s="210" t="str">
        <f>B43</f>
        <v>Nota FINANCIERO CONTABLE</v>
      </c>
      <c r="C184" s="211">
        <f>C43</f>
        <v>0</v>
      </c>
    </row>
    <row r="185" spans="1:3" x14ac:dyDescent="0.2">
      <c r="A185" s="1"/>
      <c r="B185" s="210" t="str">
        <f>B76</f>
        <v>Nota CONTROL INTERNO INSTITUCIONAL</v>
      </c>
      <c r="C185" s="211">
        <f>C76</f>
        <v>78.94736842105263</v>
      </c>
    </row>
    <row r="186" spans="1:3" x14ac:dyDescent="0.2">
      <c r="A186" s="1"/>
      <c r="B186" s="210" t="str">
        <f>B95</f>
        <v>Nota CONTRATACIÓN ADMINISTRATIVA</v>
      </c>
      <c r="C186" s="211">
        <f>C95</f>
        <v>100</v>
      </c>
    </row>
    <row r="187" spans="1:3" x14ac:dyDescent="0.2">
      <c r="A187" s="1"/>
      <c r="B187" s="210" t="str">
        <f>B113</f>
        <v>Nota PRESUPUESTO</v>
      </c>
      <c r="C187" s="211">
        <f>C113</f>
        <v>100</v>
      </c>
    </row>
    <row r="188" spans="1:3" x14ac:dyDescent="0.2">
      <c r="A188" s="1"/>
      <c r="B188" s="210" t="str">
        <f>B133</f>
        <v>Nota TECNOLOGÍAS DE LA INFORMACIÓN</v>
      </c>
      <c r="C188" s="211">
        <f>C133</f>
        <v>30</v>
      </c>
    </row>
    <row r="189" spans="1:3" x14ac:dyDescent="0.2">
      <c r="A189" s="1"/>
      <c r="B189" s="210" t="str">
        <f>B160</f>
        <v>Nota SERVICIO AL USUARIO</v>
      </c>
      <c r="C189" s="211">
        <f>C160</f>
        <v>88.888888888888886</v>
      </c>
    </row>
    <row r="190" spans="1:3" x14ac:dyDescent="0.2">
      <c r="A190" s="1"/>
      <c r="B190" s="210" t="str">
        <f>B172</f>
        <v>Nota RECURSOS HUMANOS</v>
      </c>
      <c r="C190" s="211">
        <f>C172</f>
        <v>60</v>
      </c>
    </row>
    <row r="191" spans="1:3" x14ac:dyDescent="0.2">
      <c r="A191" s="1"/>
      <c r="B191" s="210"/>
      <c r="C191" s="211"/>
    </row>
    <row r="192" spans="1:3" x14ac:dyDescent="0.2">
      <c r="A192" s="1"/>
      <c r="B192" s="212" t="str">
        <f>B179</f>
        <v>NOTA FINAL</v>
      </c>
      <c r="C192" s="213">
        <f>C179</f>
        <v>80.519480519480524</v>
      </c>
    </row>
  </sheetData>
  <sheetProtection password="D3B5" sheet="1" objects="1" scenarios="1"/>
  <protectedRanges>
    <protectedRange sqref="C5" name="Rango1_1"/>
    <protectedRange sqref="C12:C19 C24:C39 C45:C72 C77:C91 C96:C109 C114:C129 C134:C156 C161:C168" name="Rango2_1"/>
    <protectedRange sqref="C3" name="Rango6_1"/>
    <protectedRange sqref="C5" name="Rango7_1"/>
  </protectedRanges>
  <mergeCells count="1">
    <mergeCell ref="A1:C1"/>
  </mergeCells>
  <phoneticPr fontId="31" type="noConversion"/>
  <dataValidations count="2">
    <dataValidation type="list" allowBlank="1" showInputMessage="1" showErrorMessage="1" sqref="C5">
      <formula1>inst</formula1>
    </dataValidation>
    <dataValidation type="list" allowBlank="1" showInputMessage="1" showErrorMessage="1" sqref="C80:C91 C136:C156 C99:C109 C28:C38 C26 C47:C58 C12:C19 C69:C72 C65:C67 C121:C124 C126:C128 C117:C119 C60:C63 C163:C167">
      <formula1>noap</formula1>
    </dataValidation>
  </dataValidations>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3"/>
  <sheetViews>
    <sheetView workbookViewId="0">
      <selection activeCell="B11" sqref="B11"/>
    </sheetView>
  </sheetViews>
  <sheetFormatPr baseColWidth="10" defaultRowHeight="15" x14ac:dyDescent="0.2"/>
  <cols>
    <col min="1" max="1" width="6.7109375" style="2" customWidth="1"/>
    <col min="2" max="2" width="80" style="2" customWidth="1"/>
    <col min="3" max="3" width="29.85546875" style="65" customWidth="1"/>
    <col min="4" max="4" width="68.140625" style="4" customWidth="1"/>
    <col min="5" max="6" width="11.42578125" style="2"/>
    <col min="7" max="7" width="11" style="3" customWidth="1"/>
    <col min="8" max="8" width="30.42578125" style="2" customWidth="1"/>
    <col min="9" max="9" width="11.42578125" style="2"/>
    <col min="10" max="10" width="30.7109375" style="2" customWidth="1"/>
    <col min="11" max="11" width="11.42578125" style="2"/>
    <col min="12" max="13" width="11.42578125" style="4"/>
    <col min="14" max="14" width="15" style="4" customWidth="1"/>
    <col min="15" max="15" width="20.85546875" style="4" customWidth="1"/>
    <col min="16" max="16" width="27.85546875" style="4" customWidth="1"/>
    <col min="17" max="17" width="37.140625" style="4" customWidth="1"/>
    <col min="18" max="18" width="18.5703125" style="4" customWidth="1"/>
    <col min="19" max="19" width="11.85546875" style="4" customWidth="1"/>
    <col min="20" max="20" width="11.42578125" style="4"/>
    <col min="21" max="21" width="14.7109375" style="4" customWidth="1"/>
    <col min="22" max="23" width="13.28515625" style="4" customWidth="1"/>
    <col min="24" max="24" width="15.85546875" style="4" customWidth="1"/>
    <col min="25" max="25" width="15.28515625" style="4" customWidth="1"/>
    <col min="26" max="26" width="13.85546875" style="4" customWidth="1"/>
    <col min="27" max="27" width="17" style="4" customWidth="1"/>
    <col min="28" max="28" width="11.42578125" style="4"/>
    <col min="29" max="29" width="13.28515625" style="5" customWidth="1"/>
    <col min="30" max="30" width="11.42578125" style="5"/>
    <col min="31" max="31" width="13.28515625" style="5" customWidth="1"/>
    <col min="32" max="32" width="11.42578125" style="5"/>
    <col min="33" max="33" width="19.140625" style="5" customWidth="1"/>
    <col min="34" max="34" width="11.42578125" style="5"/>
    <col min="35" max="35" width="31" style="2" customWidth="1"/>
    <col min="36" max="38" width="11.42578125" style="2"/>
    <col min="39" max="39" width="14.85546875" style="2" customWidth="1"/>
    <col min="40" max="16384" width="11.42578125" style="2"/>
  </cols>
  <sheetData>
    <row r="1" spans="1:34" x14ac:dyDescent="0.25">
      <c r="A1" s="262" t="s">
        <v>307</v>
      </c>
      <c r="B1" s="262"/>
      <c r="C1" s="262"/>
      <c r="D1" s="1"/>
      <c r="AA1" s="1"/>
    </row>
    <row r="2" spans="1:34" x14ac:dyDescent="0.25">
      <c r="A2" s="262" t="s">
        <v>66</v>
      </c>
      <c r="B2" s="262"/>
      <c r="C2" s="262"/>
      <c r="P2" s="6"/>
      <c r="AA2" s="1"/>
    </row>
    <row r="3" spans="1:34" ht="15" customHeight="1" x14ac:dyDescent="0.2">
      <c r="A3" s="8"/>
      <c r="B3" s="9" t="s">
        <v>308</v>
      </c>
      <c r="C3" s="12"/>
      <c r="D3" s="10"/>
      <c r="W3" s="1"/>
      <c r="AE3" s="2"/>
      <c r="AF3" s="2"/>
      <c r="AG3" s="2"/>
      <c r="AH3" s="2"/>
    </row>
    <row r="4" spans="1:34" ht="30" customHeight="1" x14ac:dyDescent="0.2">
      <c r="A4" s="8"/>
      <c r="B4" s="11" t="str">
        <f>'Para-responder'!B4</f>
        <v>Ministerio de Justicia y Paz</v>
      </c>
      <c r="C4" s="66"/>
      <c r="W4" s="1"/>
      <c r="AE4" s="2"/>
      <c r="AF4" s="2"/>
      <c r="AG4" s="2"/>
      <c r="AH4" s="2"/>
    </row>
    <row r="5" spans="1:34" x14ac:dyDescent="0.2">
      <c r="A5" s="8"/>
      <c r="B5" s="9" t="s">
        <v>309</v>
      </c>
      <c r="C5" s="9"/>
      <c r="D5" s="12"/>
      <c r="E5" s="8"/>
      <c r="F5" s="8"/>
      <c r="G5" s="13"/>
      <c r="H5" s="8"/>
      <c r="I5" s="8"/>
      <c r="J5" s="8"/>
      <c r="K5" s="8"/>
      <c r="L5" s="1"/>
      <c r="W5" s="1"/>
      <c r="AE5" s="2"/>
      <c r="AF5" s="2"/>
      <c r="AG5" s="2"/>
      <c r="AH5" s="2"/>
    </row>
    <row r="6" spans="1:34" x14ac:dyDescent="0.2">
      <c r="A6" s="8"/>
      <c r="B6" s="11" t="str">
        <f>'Para-responder'!B6</f>
        <v>Gobierno Central y otros Poderes</v>
      </c>
      <c r="C6" s="9"/>
      <c r="D6" s="1"/>
      <c r="E6" s="8"/>
      <c r="F6" s="8"/>
      <c r="G6" s="13"/>
      <c r="H6" s="8"/>
      <c r="I6" s="8"/>
      <c r="J6" s="8"/>
      <c r="K6" s="8"/>
      <c r="L6" s="1"/>
      <c r="V6" s="67"/>
      <c r="W6" s="67"/>
      <c r="AE6" s="2"/>
      <c r="AF6" s="2"/>
      <c r="AG6" s="2"/>
      <c r="AH6" s="2"/>
    </row>
    <row r="7" spans="1:34" x14ac:dyDescent="0.25">
      <c r="A7" s="8"/>
      <c r="B7" s="15" t="s">
        <v>311</v>
      </c>
      <c r="C7" s="15" t="s">
        <v>312</v>
      </c>
      <c r="D7" s="16" t="s">
        <v>313</v>
      </c>
      <c r="E7" s="16" t="s">
        <v>314</v>
      </c>
      <c r="F7" s="8"/>
      <c r="G7" s="13"/>
      <c r="H7" s="8"/>
      <c r="I7" s="8"/>
      <c r="J7" s="8"/>
      <c r="K7" s="8"/>
      <c r="L7" s="1"/>
      <c r="AA7" s="1"/>
    </row>
    <row r="8" spans="1:34" s="30" customFormat="1" ht="15.75" customHeight="1" thickBot="1" x14ac:dyDescent="0.25">
      <c r="A8" s="270" t="s">
        <v>67</v>
      </c>
      <c r="B8" s="270"/>
      <c r="C8" s="68"/>
      <c r="D8" s="19"/>
      <c r="E8" s="28"/>
      <c r="F8" s="28"/>
      <c r="L8" s="20"/>
      <c r="M8" s="20"/>
      <c r="N8" s="20"/>
      <c r="O8" s="20"/>
      <c r="P8" s="20"/>
      <c r="Q8" s="20"/>
      <c r="R8" s="20"/>
      <c r="S8" s="20"/>
      <c r="T8" s="20"/>
      <c r="U8" s="20"/>
      <c r="V8" s="20"/>
      <c r="W8" s="20"/>
      <c r="X8" s="20"/>
      <c r="Y8" s="20"/>
      <c r="Z8" s="20"/>
      <c r="AA8" s="19"/>
      <c r="AB8" s="20"/>
      <c r="AC8" s="31"/>
      <c r="AD8" s="31"/>
      <c r="AE8" s="31"/>
      <c r="AF8" s="31"/>
      <c r="AG8" s="31"/>
      <c r="AH8" s="31"/>
    </row>
    <row r="9" spans="1:34" ht="15.75" thickBot="1" x14ac:dyDescent="0.25">
      <c r="A9" s="8"/>
      <c r="B9" s="8"/>
      <c r="C9" s="17"/>
      <c r="D9" s="1"/>
      <c r="E9" s="8"/>
      <c r="F9" s="8"/>
      <c r="N9" s="18"/>
      <c r="O9" s="271" t="s">
        <v>68</v>
      </c>
      <c r="P9" s="272"/>
      <c r="Q9" s="273"/>
      <c r="R9" s="19"/>
      <c r="S9" s="19"/>
      <c r="T9" s="20"/>
      <c r="U9" s="20"/>
      <c r="V9" s="20"/>
      <c r="W9" s="20"/>
      <c r="AA9" s="1"/>
    </row>
    <row r="10" spans="1:34" ht="26.25" thickBot="1" x14ac:dyDescent="0.25">
      <c r="A10" s="8"/>
      <c r="B10" s="21" t="s">
        <v>315</v>
      </c>
      <c r="C10" s="17"/>
      <c r="D10" s="1"/>
      <c r="E10" s="8"/>
      <c r="F10" s="8"/>
      <c r="N10" s="22"/>
      <c r="O10" s="69" t="s">
        <v>69</v>
      </c>
      <c r="P10" s="69" t="s">
        <v>70</v>
      </c>
      <c r="Q10" s="69" t="s">
        <v>71</v>
      </c>
      <c r="R10" s="4" t="s">
        <v>72</v>
      </c>
      <c r="S10" s="1"/>
      <c r="AA10" s="23" t="s">
        <v>316</v>
      </c>
    </row>
    <row r="11" spans="1:34" ht="25.5" x14ac:dyDescent="0.25">
      <c r="A11" s="13">
        <v>1</v>
      </c>
      <c r="B11" s="24" t="s">
        <v>317</v>
      </c>
      <c r="C11" s="17" t="str">
        <f>'Para-responder'!C10</f>
        <v>SI</v>
      </c>
      <c r="D11" s="1" t="str">
        <f>IF(C11="SI",AA11,"")</f>
        <v>Declaración de misión, visión y valores institucionales</v>
      </c>
      <c r="E11" s="8"/>
      <c r="F11" s="8"/>
      <c r="N11" s="22"/>
      <c r="O11" s="69" t="s">
        <v>318</v>
      </c>
      <c r="P11" s="70" t="s">
        <v>73</v>
      </c>
      <c r="Q11" s="71" t="s">
        <v>74</v>
      </c>
      <c r="R11" s="4" t="s">
        <v>41</v>
      </c>
      <c r="S11" s="1"/>
      <c r="AA11" s="26" t="s">
        <v>319</v>
      </c>
    </row>
    <row r="12" spans="1:34" ht="26.25" thickBot="1" x14ac:dyDescent="0.3">
      <c r="A12" s="13">
        <v>2</v>
      </c>
      <c r="B12" s="27" t="s">
        <v>320</v>
      </c>
      <c r="C12" s="17" t="str">
        <f>'Para-responder'!C11</f>
        <v>SI</v>
      </c>
      <c r="D12" s="1" t="str">
        <f>IF(C12="SI",AA12," ")</f>
        <v>Plan estratégico vigente</v>
      </c>
      <c r="E12" s="8"/>
      <c r="F12" s="8"/>
      <c r="N12" s="22"/>
      <c r="O12" s="72" t="s">
        <v>392</v>
      </c>
      <c r="P12" s="70" t="s">
        <v>75</v>
      </c>
      <c r="Q12" s="73" t="s">
        <v>76</v>
      </c>
      <c r="R12" s="4" t="s">
        <v>77</v>
      </c>
      <c r="S12" s="1"/>
      <c r="AA12" s="26" t="s">
        <v>321</v>
      </c>
    </row>
    <row r="13" spans="1:34" x14ac:dyDescent="0.25">
      <c r="A13" s="13">
        <v>3</v>
      </c>
      <c r="B13" s="27" t="s">
        <v>322</v>
      </c>
      <c r="C13" s="17" t="str">
        <f>'Para-responder'!C12</f>
        <v>SI</v>
      </c>
      <c r="D13" s="19" t="str">
        <f>IF(C13="SI",AA13," ")</f>
        <v>Plan anual  vigente</v>
      </c>
      <c r="E13" s="28"/>
      <c r="F13" s="28"/>
      <c r="G13" s="29"/>
      <c r="H13" s="30"/>
      <c r="I13" s="30"/>
      <c r="J13" s="30"/>
      <c r="K13" s="30"/>
      <c r="L13" s="20"/>
      <c r="M13" s="20"/>
      <c r="N13" s="18"/>
      <c r="O13" s="74" t="s">
        <v>453</v>
      </c>
      <c r="P13" s="74" t="s">
        <v>78</v>
      </c>
      <c r="Q13" s="75" t="s">
        <v>79</v>
      </c>
      <c r="R13" s="1" t="s">
        <v>453</v>
      </c>
      <c r="S13" s="19"/>
      <c r="T13" s="20"/>
      <c r="U13" s="20"/>
      <c r="V13" s="20"/>
      <c r="W13" s="20"/>
      <c r="X13" s="20"/>
      <c r="Y13" s="20"/>
      <c r="Z13" s="20"/>
      <c r="AA13" s="32" t="s">
        <v>323</v>
      </c>
    </row>
    <row r="14" spans="1:34" ht="26.25" thickBot="1" x14ac:dyDescent="0.3">
      <c r="A14" s="13">
        <v>4</v>
      </c>
      <c r="B14" s="27" t="s">
        <v>324</v>
      </c>
      <c r="C14" s="17" t="str">
        <f>'Para-responder'!C13</f>
        <v>SI</v>
      </c>
      <c r="D14" s="19" t="str">
        <f>IF(C14="SI",AA14," ")</f>
        <v>Matriz Anual de Programación Institucional (MAPI)</v>
      </c>
      <c r="E14" s="28"/>
      <c r="F14" s="28"/>
      <c r="G14" s="29"/>
      <c r="H14" s="30"/>
      <c r="I14" s="30"/>
      <c r="J14" s="30"/>
      <c r="K14" s="30"/>
      <c r="L14" s="20"/>
      <c r="M14" s="20"/>
      <c r="N14" s="18"/>
      <c r="O14" s="76"/>
      <c r="P14" s="76"/>
      <c r="Q14" s="77" t="s">
        <v>310</v>
      </c>
      <c r="R14" s="19"/>
      <c r="S14" s="19"/>
      <c r="T14" s="20"/>
      <c r="U14" s="20"/>
      <c r="V14" s="20"/>
      <c r="W14" s="20"/>
      <c r="X14" s="20"/>
      <c r="Y14" s="20"/>
      <c r="Z14" s="20"/>
      <c r="AA14" s="32" t="s">
        <v>325</v>
      </c>
    </row>
    <row r="15" spans="1:34" x14ac:dyDescent="0.2">
      <c r="A15" s="13">
        <v>5</v>
      </c>
      <c r="B15" s="33" t="s">
        <v>326</v>
      </c>
      <c r="C15" s="17" t="str">
        <f>'Para-responder'!C14</f>
        <v>SI</v>
      </c>
      <c r="D15" s="1" t="str">
        <f>IF(C15="SI",AA15," ")</f>
        <v>Catálogo de Indicadores de gestión vigente</v>
      </c>
      <c r="E15" s="8"/>
      <c r="F15" s="8"/>
      <c r="G15" s="29"/>
      <c r="H15" s="30"/>
      <c r="I15" s="30"/>
      <c r="J15" s="30"/>
      <c r="K15" s="30"/>
      <c r="L15" s="20"/>
      <c r="M15" s="20"/>
      <c r="N15" s="18"/>
      <c r="O15" s="19"/>
      <c r="P15" s="19"/>
      <c r="Q15" s="19"/>
      <c r="R15" s="19"/>
      <c r="S15" s="19"/>
      <c r="T15" s="20"/>
      <c r="U15" s="20"/>
      <c r="V15" s="20"/>
      <c r="W15" s="20"/>
      <c r="X15" s="20"/>
      <c r="Y15" s="20"/>
      <c r="Z15" s="20"/>
      <c r="AA15" s="26" t="s">
        <v>327</v>
      </c>
    </row>
    <row r="16" spans="1:34" x14ac:dyDescent="0.2">
      <c r="A16" s="8"/>
      <c r="B16" s="8"/>
      <c r="C16" s="17"/>
      <c r="D16" s="1"/>
      <c r="E16" s="8"/>
      <c r="F16" s="8"/>
      <c r="G16" s="29"/>
      <c r="H16" s="30"/>
      <c r="I16" s="30"/>
      <c r="J16" s="30"/>
      <c r="K16" s="30"/>
      <c r="L16" s="20"/>
      <c r="M16" s="20"/>
      <c r="N16" s="18"/>
      <c r="O16" s="19"/>
      <c r="P16" s="19"/>
      <c r="Q16" s="19"/>
      <c r="R16" s="19"/>
      <c r="S16" s="19"/>
      <c r="T16" s="20"/>
      <c r="U16" s="20"/>
      <c r="V16" s="20"/>
      <c r="W16" s="20"/>
      <c r="X16" s="20"/>
      <c r="Y16" s="20"/>
      <c r="Z16" s="20"/>
      <c r="AA16" s="1"/>
    </row>
    <row r="17" spans="1:34" ht="26.25" customHeight="1" thickBot="1" x14ac:dyDescent="0.25">
      <c r="A17" s="8"/>
      <c r="B17" s="21" t="s">
        <v>332</v>
      </c>
      <c r="C17" s="25"/>
      <c r="D17" s="1"/>
      <c r="E17" s="8"/>
      <c r="F17" s="8"/>
      <c r="N17" s="18"/>
      <c r="O17" s="19"/>
      <c r="P17" s="19"/>
      <c r="Q17" s="19"/>
      <c r="R17" s="19"/>
      <c r="S17" s="19"/>
      <c r="T17" s="20"/>
      <c r="U17" s="20"/>
      <c r="V17" s="20"/>
      <c r="W17" s="20"/>
      <c r="X17" s="20"/>
      <c r="Y17" s="20"/>
      <c r="AA17" s="1"/>
    </row>
    <row r="18" spans="1:34" ht="25.5" x14ac:dyDescent="0.2">
      <c r="A18" s="34">
        <v>6</v>
      </c>
      <c r="B18" s="33" t="s">
        <v>333</v>
      </c>
      <c r="C18" s="25" t="str">
        <f>'Para-responder'!C19</f>
        <v>NO APLICA</v>
      </c>
      <c r="D18" s="1" t="str">
        <f>IF(C18="SI",AA18," ")</f>
        <v xml:space="preserve"> </v>
      </c>
      <c r="E18" s="8"/>
      <c r="F18" s="8"/>
      <c r="N18" s="267" t="s">
        <v>80</v>
      </c>
      <c r="O18" s="268"/>
      <c r="P18" s="268"/>
      <c r="Q18" s="268"/>
      <c r="R18" s="268"/>
      <c r="S18" s="268"/>
      <c r="T18" s="268"/>
      <c r="U18" s="268"/>
      <c r="V18" s="268"/>
      <c r="W18" s="269"/>
      <c r="X18" s="20"/>
      <c r="Y18" s="20"/>
      <c r="AA18" s="26" t="s">
        <v>334</v>
      </c>
    </row>
    <row r="19" spans="1:34" ht="25.5" x14ac:dyDescent="0.2">
      <c r="A19" s="34">
        <v>7</v>
      </c>
      <c r="B19" s="33" t="s">
        <v>335</v>
      </c>
      <c r="C19" s="25"/>
      <c r="D19" s="1"/>
      <c r="E19" s="8"/>
      <c r="F19" s="8"/>
      <c r="N19" s="78"/>
      <c r="O19" s="47"/>
      <c r="P19" s="79" t="s">
        <v>318</v>
      </c>
      <c r="Q19" s="79" t="s">
        <v>453</v>
      </c>
      <c r="R19" s="79"/>
      <c r="S19" s="79"/>
      <c r="T19" s="80"/>
      <c r="U19" s="80" t="s">
        <v>81</v>
      </c>
      <c r="V19" s="80" t="s">
        <v>82</v>
      </c>
      <c r="W19" s="81" t="s">
        <v>83</v>
      </c>
      <c r="X19" s="20"/>
      <c r="Y19" s="20"/>
      <c r="AA19" s="1"/>
    </row>
    <row r="20" spans="1:34" x14ac:dyDescent="0.2">
      <c r="A20" s="8"/>
      <c r="B20" s="35" t="s">
        <v>336</v>
      </c>
      <c r="C20" s="25" t="str">
        <f>'Para-responder'!C21</f>
        <v>NO APLICA</v>
      </c>
      <c r="D20" s="1" t="str">
        <f t="shared" ref="D20:D26" si="0">IF(C20="SI",AA20," ")</f>
        <v xml:space="preserve"> </v>
      </c>
      <c r="E20" s="8"/>
      <c r="F20" s="8"/>
      <c r="N20" s="82" t="s">
        <v>84</v>
      </c>
      <c r="O20" s="79" t="s">
        <v>85</v>
      </c>
      <c r="P20" s="47"/>
      <c r="Q20" s="47"/>
      <c r="R20" s="47"/>
      <c r="S20" s="47"/>
      <c r="T20" s="83"/>
      <c r="U20" s="83"/>
      <c r="V20" s="84">
        <f>SUM(U21:U28)/8</f>
        <v>73.958333333333329</v>
      </c>
      <c r="W20" s="81">
        <f>V20*0.2</f>
        <v>14.791666666666666</v>
      </c>
      <c r="X20" s="20"/>
      <c r="Y20" s="20"/>
      <c r="AA20" s="26" t="s">
        <v>337</v>
      </c>
    </row>
    <row r="21" spans="1:34" x14ac:dyDescent="0.2">
      <c r="A21" s="8"/>
      <c r="B21" s="35" t="s">
        <v>338</v>
      </c>
      <c r="C21" s="25" t="str">
        <f>'Para-responder'!C22</f>
        <v>NO APLICA</v>
      </c>
      <c r="D21" s="1" t="str">
        <f t="shared" si="0"/>
        <v xml:space="preserve"> </v>
      </c>
      <c r="E21" s="8"/>
      <c r="F21" s="8"/>
      <c r="N21" s="78">
        <f>5-Q21</f>
        <v>5</v>
      </c>
      <c r="O21" s="47" t="s">
        <v>86</v>
      </c>
      <c r="P21" s="47">
        <f>COUNTIF(C11:C15,"Si")</f>
        <v>5</v>
      </c>
      <c r="Q21" s="47">
        <f>COUNTIF(C14,"NO APLICA")</f>
        <v>0</v>
      </c>
      <c r="R21" s="47"/>
      <c r="S21" s="47"/>
      <c r="T21" s="83"/>
      <c r="U21" s="85">
        <f>P21/N21*100</f>
        <v>100</v>
      </c>
      <c r="V21" s="86"/>
      <c r="W21" s="87"/>
      <c r="AA21" s="26" t="s">
        <v>337</v>
      </c>
    </row>
    <row r="22" spans="1:34" x14ac:dyDescent="0.2">
      <c r="A22" s="8"/>
      <c r="B22" s="35" t="s">
        <v>339</v>
      </c>
      <c r="C22" s="25" t="str">
        <f>'Para-responder'!C23</f>
        <v>NO APLICA</v>
      </c>
      <c r="D22" s="1" t="str">
        <f t="shared" si="0"/>
        <v xml:space="preserve"> </v>
      </c>
      <c r="E22" s="8"/>
      <c r="F22" s="8"/>
      <c r="N22" s="78">
        <v>5</v>
      </c>
      <c r="O22" s="47" t="s">
        <v>87</v>
      </c>
      <c r="P22" s="47">
        <f>COUNTIF(C18:C19,"Si")+(COUNTIF(C20:C23,"Si")/4)+COUNTIF(C24:C26,"Si")</f>
        <v>0</v>
      </c>
      <c r="Q22" s="47"/>
      <c r="R22" s="47"/>
      <c r="S22" s="47"/>
      <c r="T22" s="83"/>
      <c r="U22" s="85">
        <f t="shared" ref="U22:U27" si="1">P22/N22*100</f>
        <v>0</v>
      </c>
      <c r="V22" s="83"/>
      <c r="W22" s="87"/>
      <c r="AA22" s="26" t="s">
        <v>337</v>
      </c>
    </row>
    <row r="23" spans="1:34" x14ac:dyDescent="0.2">
      <c r="A23" s="8"/>
      <c r="B23" s="35" t="s">
        <v>340</v>
      </c>
      <c r="C23" s="25" t="str">
        <f>'Para-responder'!C24</f>
        <v>NO APLICA</v>
      </c>
      <c r="D23" s="1" t="str">
        <f t="shared" si="0"/>
        <v xml:space="preserve"> </v>
      </c>
      <c r="E23" s="8"/>
      <c r="F23" s="8"/>
      <c r="N23" s="78">
        <f>13-Q23</f>
        <v>12</v>
      </c>
      <c r="O23" s="47" t="s">
        <v>88</v>
      </c>
      <c r="P23" s="47">
        <f>COUNTIF(C30:C45,"Si")</f>
        <v>11</v>
      </c>
      <c r="Q23" s="47">
        <f>COUNTIF(C30:C42,"NO APLICA")</f>
        <v>1</v>
      </c>
      <c r="R23" s="47"/>
      <c r="S23" s="47"/>
      <c r="T23" s="83"/>
      <c r="U23" s="85">
        <f t="shared" si="1"/>
        <v>91.666666666666657</v>
      </c>
      <c r="V23" s="83"/>
      <c r="W23" s="87"/>
      <c r="AA23" s="26" t="s">
        <v>337</v>
      </c>
    </row>
    <row r="24" spans="1:34" ht="25.5" x14ac:dyDescent="0.2">
      <c r="A24" s="13">
        <v>8</v>
      </c>
      <c r="B24" s="33" t="s">
        <v>341</v>
      </c>
      <c r="C24" s="25" t="str">
        <f>'Para-responder'!C25</f>
        <v>NO APLICA</v>
      </c>
      <c r="D24" s="1" t="str">
        <f t="shared" si="0"/>
        <v xml:space="preserve"> </v>
      </c>
      <c r="E24" s="8"/>
      <c r="F24" s="8"/>
      <c r="N24" s="78">
        <v>5</v>
      </c>
      <c r="O24" s="47" t="s">
        <v>89</v>
      </c>
      <c r="P24" s="47">
        <f>(COUNTIF(C49:C52,"Si")/4)+COUNTIF(C53:C56,"Si")</f>
        <v>5</v>
      </c>
      <c r="Q24" s="47"/>
      <c r="R24" s="47"/>
      <c r="S24" s="47"/>
      <c r="T24" s="83"/>
      <c r="U24" s="85">
        <f t="shared" si="1"/>
        <v>100</v>
      </c>
      <c r="V24" s="83"/>
      <c r="W24" s="87"/>
      <c r="AA24" s="26" t="s">
        <v>364</v>
      </c>
    </row>
    <row r="25" spans="1:34" ht="25.5" x14ac:dyDescent="0.2">
      <c r="A25" s="13">
        <v>9</v>
      </c>
      <c r="B25" s="33" t="s">
        <v>365</v>
      </c>
      <c r="C25" s="25" t="str">
        <f>'Para-responder'!C26</f>
        <v>NO APLICA</v>
      </c>
      <c r="D25" s="1" t="str">
        <f t="shared" si="0"/>
        <v xml:space="preserve"> </v>
      </c>
      <c r="E25" s="8"/>
      <c r="F25" s="8"/>
      <c r="N25" s="78">
        <f>3-Q25</f>
        <v>3</v>
      </c>
      <c r="O25" s="47" t="s">
        <v>90</v>
      </c>
      <c r="P25" s="47">
        <f>(COUNTIF(C60:C61,"Si")/2)+COUNTIF(C62:C63,"Si")</f>
        <v>3</v>
      </c>
      <c r="Q25" s="47">
        <f>COUNTIF(C60:C61,"No Aplica")/2+COUNTIF(C62:C63,"No Aplica")</f>
        <v>0</v>
      </c>
      <c r="R25" s="47"/>
      <c r="S25" s="47"/>
      <c r="T25" s="83"/>
      <c r="U25" s="85">
        <f t="shared" si="1"/>
        <v>100</v>
      </c>
      <c r="V25" s="83"/>
      <c r="W25" s="87"/>
      <c r="AA25" s="26" t="s">
        <v>366</v>
      </c>
    </row>
    <row r="26" spans="1:34" ht="38.25" x14ac:dyDescent="0.2">
      <c r="A26" s="13">
        <v>10</v>
      </c>
      <c r="B26" s="33" t="s">
        <v>367</v>
      </c>
      <c r="C26" s="25" t="str">
        <f>'Para-responder'!C27</f>
        <v>NO APLICA</v>
      </c>
      <c r="D26" s="1" t="str">
        <f t="shared" si="0"/>
        <v xml:space="preserve"> </v>
      </c>
      <c r="E26" s="8"/>
      <c r="F26" s="8"/>
      <c r="N26" s="78">
        <v>5</v>
      </c>
      <c r="O26" s="47" t="s">
        <v>91</v>
      </c>
      <c r="P26" s="47">
        <f>(COUNTIF(C67:C69,"Si")/3)+(COUNTIF(C71:C72,"Si")/2)+(COUNTIF(C73:C74,"Si"))+(COUNTIF(C76:C78,"Si")/3)</f>
        <v>1.6666666666666665</v>
      </c>
      <c r="Q26" s="47"/>
      <c r="R26" s="47"/>
      <c r="S26" s="47"/>
      <c r="T26" s="83"/>
      <c r="U26" s="85">
        <f t="shared" si="1"/>
        <v>33.333333333333329</v>
      </c>
      <c r="V26" s="83"/>
      <c r="W26" s="87"/>
      <c r="AA26" s="26" t="s">
        <v>368</v>
      </c>
    </row>
    <row r="27" spans="1:34" x14ac:dyDescent="0.2">
      <c r="A27" s="8"/>
      <c r="B27" s="8"/>
      <c r="C27" s="17"/>
      <c r="D27" s="1"/>
      <c r="E27" s="8"/>
      <c r="F27" s="8"/>
      <c r="N27" s="78">
        <v>4</v>
      </c>
      <c r="O27" s="47" t="s">
        <v>92</v>
      </c>
      <c r="P27" s="47">
        <f>COUNTIF(C81:C84,"Si")</f>
        <v>4</v>
      </c>
      <c r="Q27" s="47"/>
      <c r="R27" s="47"/>
      <c r="S27" s="47"/>
      <c r="T27" s="83"/>
      <c r="U27" s="85">
        <f t="shared" si="1"/>
        <v>100</v>
      </c>
      <c r="V27" s="83"/>
      <c r="W27" s="87"/>
      <c r="AA27" s="26"/>
    </row>
    <row r="28" spans="1:34" x14ac:dyDescent="0.2">
      <c r="A28" s="8"/>
      <c r="B28" s="21" t="s">
        <v>377</v>
      </c>
      <c r="C28" s="17"/>
      <c r="D28" s="1"/>
      <c r="E28" s="8"/>
      <c r="F28" s="8"/>
      <c r="N28" s="78">
        <v>3</v>
      </c>
      <c r="O28" s="47" t="s">
        <v>93</v>
      </c>
      <c r="P28" s="47">
        <f>COUNTIF(C88:C90,"Si")</f>
        <v>2</v>
      </c>
      <c r="Q28" s="47">
        <f>COUNTIF(C90,"No Aplica")</f>
        <v>0</v>
      </c>
      <c r="R28" s="47"/>
      <c r="S28" s="47"/>
      <c r="T28" s="83"/>
      <c r="U28" s="85">
        <f>P28/N28*100</f>
        <v>66.666666666666657</v>
      </c>
      <c r="V28" s="83"/>
      <c r="W28" s="87"/>
      <c r="AA28" s="1"/>
    </row>
    <row r="29" spans="1:34" x14ac:dyDescent="0.2">
      <c r="A29" s="8"/>
      <c r="B29" s="37" t="s">
        <v>378</v>
      </c>
      <c r="C29" s="38"/>
      <c r="D29" s="1"/>
      <c r="E29" s="8"/>
      <c r="F29" s="8"/>
      <c r="N29" s="78"/>
      <c r="O29" s="47"/>
      <c r="P29" s="79" t="s">
        <v>318</v>
      </c>
      <c r="Q29" s="79" t="s">
        <v>453</v>
      </c>
      <c r="R29" s="79"/>
      <c r="S29" s="79"/>
      <c r="T29" s="80"/>
      <c r="U29" s="80" t="s">
        <v>81</v>
      </c>
      <c r="V29" s="80" t="s">
        <v>82</v>
      </c>
      <c r="W29" s="81" t="s">
        <v>83</v>
      </c>
      <c r="AA29" s="1"/>
    </row>
    <row r="30" spans="1:34" ht="25.5" x14ac:dyDescent="0.2">
      <c r="A30" s="13">
        <v>11</v>
      </c>
      <c r="B30" s="39" t="s">
        <v>379</v>
      </c>
      <c r="C30" s="17" t="str">
        <f>'Para-responder'!C35</f>
        <v>SI</v>
      </c>
      <c r="D30" s="19" t="str">
        <f t="shared" ref="D30:D35" si="2">IF(C30="SI",AA30," ")</f>
        <v>Reglamento de organización y funcionamiento de la auditoría interna, o en su defecto Reglamento orgánico de la institución</v>
      </c>
      <c r="E30" s="8"/>
      <c r="F30" s="8"/>
      <c r="N30" s="78"/>
      <c r="O30" s="79" t="s">
        <v>94</v>
      </c>
      <c r="P30" s="47"/>
      <c r="Q30" s="47"/>
      <c r="R30" s="47"/>
      <c r="S30" s="47"/>
      <c r="T30" s="83"/>
      <c r="U30" s="83"/>
      <c r="V30" s="84">
        <f>SUM(U31:U38)/7</f>
        <v>63.809523809523803</v>
      </c>
      <c r="W30" s="81">
        <f>V30*0.4</f>
        <v>25.523809523809522</v>
      </c>
      <c r="AA30" s="26" t="s">
        <v>380</v>
      </c>
      <c r="AG30" s="2"/>
      <c r="AH30" s="2"/>
    </row>
    <row r="31" spans="1:34" x14ac:dyDescent="0.2">
      <c r="A31" s="13">
        <v>12</v>
      </c>
      <c r="B31" s="39" t="s">
        <v>381</v>
      </c>
      <c r="C31" s="17" t="str">
        <f>'Para-responder'!C36</f>
        <v>NO</v>
      </c>
      <c r="D31" s="19" t="str">
        <f t="shared" si="2"/>
        <v xml:space="preserve"> </v>
      </c>
      <c r="E31" s="8"/>
      <c r="F31" s="8"/>
      <c r="N31" s="78">
        <v>2</v>
      </c>
      <c r="O31" s="47" t="s">
        <v>86</v>
      </c>
      <c r="P31" s="47">
        <f>COUNTIF(C95:C96,"Si")</f>
        <v>2</v>
      </c>
      <c r="Q31" s="47"/>
      <c r="R31" s="47"/>
      <c r="S31" s="47"/>
      <c r="T31" s="83"/>
      <c r="U31" s="83">
        <f t="shared" ref="U31:U38" si="3">P31/N31*100</f>
        <v>100</v>
      </c>
      <c r="V31" s="83"/>
      <c r="W31" s="87"/>
      <c r="AA31" s="26" t="s">
        <v>382</v>
      </c>
      <c r="AG31" s="2"/>
      <c r="AH31" s="2"/>
    </row>
    <row r="32" spans="1:34" ht="25.5" x14ac:dyDescent="0.2">
      <c r="A32" s="13">
        <v>13</v>
      </c>
      <c r="B32" s="39" t="s">
        <v>383</v>
      </c>
      <c r="C32" s="17" t="str">
        <f>'Para-responder'!C37</f>
        <v>SI</v>
      </c>
      <c r="D32" s="1" t="str">
        <f t="shared" si="2"/>
        <v>Documentación de los mecanismos</v>
      </c>
      <c r="E32" s="8"/>
      <c r="F32" s="8"/>
      <c r="N32" s="88">
        <v>4</v>
      </c>
      <c r="O32" s="47" t="s">
        <v>87</v>
      </c>
      <c r="P32" s="47">
        <f>COUNTIF(C99:C102,"Si")</f>
        <v>0</v>
      </c>
      <c r="Q32" s="47"/>
      <c r="R32" s="47"/>
      <c r="S32" s="47"/>
      <c r="T32" s="83"/>
      <c r="U32" s="83">
        <f t="shared" si="3"/>
        <v>0</v>
      </c>
      <c r="V32" s="83"/>
      <c r="W32" s="87"/>
      <c r="AA32" s="26" t="s">
        <v>384</v>
      </c>
      <c r="AG32" s="2"/>
      <c r="AH32" s="2"/>
    </row>
    <row r="33" spans="1:34" x14ac:dyDescent="0.2">
      <c r="A33" s="13">
        <v>14</v>
      </c>
      <c r="B33" s="39" t="s">
        <v>385</v>
      </c>
      <c r="C33" s="17" t="str">
        <f>'Para-responder'!C38</f>
        <v>SI</v>
      </c>
      <c r="D33" s="1" t="str">
        <f t="shared" si="2"/>
        <v>Organigrama y reglamento orgánico actualizados</v>
      </c>
      <c r="E33" s="8"/>
      <c r="F33" s="8"/>
      <c r="N33" s="88">
        <v>8</v>
      </c>
      <c r="O33" s="47" t="s">
        <v>88</v>
      </c>
      <c r="P33" s="47">
        <f>COUNTIF(C106:C116,"Si")</f>
        <v>4</v>
      </c>
      <c r="Q33" s="47"/>
      <c r="R33" s="47"/>
      <c r="S33" s="47"/>
      <c r="T33" s="83"/>
      <c r="U33" s="83">
        <f>P33/N33*100</f>
        <v>50</v>
      </c>
      <c r="V33" s="83"/>
      <c r="W33" s="87"/>
      <c r="AA33" s="26" t="s">
        <v>386</v>
      </c>
      <c r="AG33" s="2"/>
      <c r="AH33" s="2"/>
    </row>
    <row r="34" spans="1:34" ht="25.5" x14ac:dyDescent="0.2">
      <c r="A34" s="13">
        <v>15</v>
      </c>
      <c r="B34" s="39" t="s">
        <v>387</v>
      </c>
      <c r="C34" s="17" t="str">
        <f>'Para-responder'!C39</f>
        <v>SI</v>
      </c>
      <c r="D34" s="1" t="str">
        <f t="shared" si="2"/>
        <v>Manual de procesos u otra documentación atinente, emitido por la máxima autoridad</v>
      </c>
      <c r="E34" s="8"/>
      <c r="F34" s="8"/>
      <c r="N34" s="78">
        <v>3</v>
      </c>
      <c r="O34" s="47" t="s">
        <v>89</v>
      </c>
      <c r="P34" s="47">
        <f>COUNTIF(C119:C121,"Si")</f>
        <v>2</v>
      </c>
      <c r="Q34" s="47"/>
      <c r="R34" s="47"/>
      <c r="S34" s="47"/>
      <c r="T34" s="83"/>
      <c r="U34" s="83">
        <f t="shared" si="3"/>
        <v>66.666666666666657</v>
      </c>
      <c r="V34" s="83"/>
      <c r="W34" s="87"/>
      <c r="AA34" s="26" t="s">
        <v>388</v>
      </c>
      <c r="AG34" s="2"/>
      <c r="AH34" s="2"/>
    </row>
    <row r="35" spans="1:34" ht="38.25" x14ac:dyDescent="0.2">
      <c r="A35" s="13">
        <v>16</v>
      </c>
      <c r="B35" s="39" t="s">
        <v>389</v>
      </c>
      <c r="C35" s="17" t="str">
        <f>'Para-responder'!C40</f>
        <v>SI</v>
      </c>
      <c r="D35" s="1" t="str">
        <f t="shared" si="2"/>
        <v>Manual de puestos</v>
      </c>
      <c r="E35" s="8"/>
      <c r="F35" s="8"/>
      <c r="N35" s="78">
        <f>2-Q35</f>
        <v>1</v>
      </c>
      <c r="O35" s="47" t="s">
        <v>90</v>
      </c>
      <c r="P35" s="47">
        <f>COUNTIF(C124:C125,"Si")</f>
        <v>1</v>
      </c>
      <c r="Q35" s="47">
        <f>COUNTIF(C125,"NO APLICA")</f>
        <v>1</v>
      </c>
      <c r="R35" s="47"/>
      <c r="S35" s="47"/>
      <c r="T35" s="83"/>
      <c r="U35" s="83">
        <f t="shared" si="3"/>
        <v>100</v>
      </c>
      <c r="V35" s="83"/>
      <c r="W35" s="87"/>
      <c r="AA35" s="26" t="s">
        <v>390</v>
      </c>
      <c r="AG35" s="2"/>
      <c r="AH35" s="2"/>
    </row>
    <row r="36" spans="1:34" ht="25.5" x14ac:dyDescent="0.2">
      <c r="A36" s="8"/>
      <c r="B36" s="37" t="s">
        <v>396</v>
      </c>
      <c r="C36" s="38"/>
      <c r="D36" s="1"/>
      <c r="E36" s="8"/>
      <c r="F36" s="8"/>
      <c r="N36" s="78">
        <v>0</v>
      </c>
      <c r="O36" s="47" t="s">
        <v>91</v>
      </c>
      <c r="P36" s="47"/>
      <c r="Q36" s="47"/>
      <c r="R36" s="47"/>
      <c r="S36" s="47"/>
      <c r="T36" s="83"/>
      <c r="U36" s="83"/>
      <c r="V36" s="83"/>
      <c r="W36" s="87"/>
      <c r="AA36" s="26"/>
      <c r="AG36" s="2"/>
      <c r="AH36" s="2"/>
    </row>
    <row r="37" spans="1:34" ht="25.5" x14ac:dyDescent="0.2">
      <c r="A37" s="13">
        <v>17</v>
      </c>
      <c r="B37" s="39" t="s">
        <v>397</v>
      </c>
      <c r="C37" s="17" t="str">
        <f>'Para-responder'!C44</f>
        <v>SI</v>
      </c>
      <c r="D37" s="1" t="str">
        <f>IF(C37="SI",AA37," ")</f>
        <v>Marco orientador del SEVRI emitido por el jerarca</v>
      </c>
      <c r="E37" s="8"/>
      <c r="F37" s="8"/>
      <c r="N37" s="78">
        <v>6</v>
      </c>
      <c r="O37" s="47" t="s">
        <v>92</v>
      </c>
      <c r="P37" s="47">
        <f>COUNTIF(C140:C143,"Si")+COUNTIF(C128,"Si")+(COUNTIF(C130:C139,"Si")/10)</f>
        <v>4.8</v>
      </c>
      <c r="Q37" s="47"/>
      <c r="R37" s="47"/>
      <c r="S37" s="47"/>
      <c r="T37" s="83"/>
      <c r="U37" s="83">
        <f t="shared" si="3"/>
        <v>80</v>
      </c>
      <c r="V37" s="83"/>
      <c r="W37" s="87"/>
      <c r="AA37" s="26" t="s">
        <v>398</v>
      </c>
      <c r="AG37" s="2"/>
      <c r="AH37" s="2"/>
    </row>
    <row r="38" spans="1:34" ht="25.5" x14ac:dyDescent="0.2">
      <c r="A38" s="13">
        <v>18</v>
      </c>
      <c r="B38" s="39" t="s">
        <v>95</v>
      </c>
      <c r="C38" s="17" t="str">
        <f>'Para-responder'!C45</f>
        <v>SI</v>
      </c>
      <c r="D38" s="1" t="str">
        <f>IF(C38="SI",AA38," ")</f>
        <v>Documentación del mecanismo</v>
      </c>
      <c r="E38" s="8"/>
      <c r="F38" s="8"/>
      <c r="N38" s="78">
        <v>2</v>
      </c>
      <c r="O38" s="47" t="s">
        <v>93</v>
      </c>
      <c r="P38" s="47">
        <f>COUNTIF(C146:C147,"Si")</f>
        <v>1</v>
      </c>
      <c r="Q38" s="47"/>
      <c r="R38" s="47"/>
      <c r="S38" s="47"/>
      <c r="T38" s="83"/>
      <c r="U38" s="83">
        <f t="shared" si="3"/>
        <v>50</v>
      </c>
      <c r="V38" s="83"/>
      <c r="W38" s="87"/>
      <c r="AA38" s="26" t="s">
        <v>400</v>
      </c>
      <c r="AG38" s="2"/>
      <c r="AH38" s="2"/>
    </row>
    <row r="39" spans="1:34" x14ac:dyDescent="0.2">
      <c r="A39" s="8"/>
      <c r="B39" s="41" t="s">
        <v>403</v>
      </c>
      <c r="C39" s="38"/>
      <c r="D39" s="1"/>
      <c r="E39" s="8"/>
      <c r="F39" s="8"/>
      <c r="N39" s="78"/>
      <c r="P39" s="79" t="s">
        <v>318</v>
      </c>
      <c r="Q39" s="79" t="s">
        <v>96</v>
      </c>
      <c r="R39" s="79" t="s">
        <v>73</v>
      </c>
      <c r="S39" s="79" t="s">
        <v>75</v>
      </c>
      <c r="T39" s="80" t="s">
        <v>78</v>
      </c>
      <c r="U39" s="80" t="s">
        <v>81</v>
      </c>
      <c r="V39" s="80" t="s">
        <v>82</v>
      </c>
      <c r="W39" s="81" t="s">
        <v>83</v>
      </c>
      <c r="AA39" s="1"/>
      <c r="AG39" s="2"/>
      <c r="AH39" s="2"/>
    </row>
    <row r="40" spans="1:34" ht="25.5" x14ac:dyDescent="0.2">
      <c r="A40" s="13">
        <v>19</v>
      </c>
      <c r="B40" s="39" t="s">
        <v>404</v>
      </c>
      <c r="C40" s="17" t="str">
        <f>'Para-responder'!C48</f>
        <v>SI</v>
      </c>
      <c r="D40" s="1" t="str">
        <f>IF(C40="SI",AA40," ")</f>
        <v>Regulaciones atinentes</v>
      </c>
      <c r="E40" s="8"/>
      <c r="F40" s="8"/>
      <c r="N40" s="78"/>
      <c r="O40" s="79" t="s">
        <v>97</v>
      </c>
      <c r="P40" s="79"/>
      <c r="Q40" s="79"/>
      <c r="R40" s="79"/>
      <c r="S40" s="79"/>
      <c r="T40" s="80"/>
      <c r="U40" s="80"/>
      <c r="V40" s="80" t="e">
        <f>(U41+U47+U55+U53+U57+U65+U63)/7</f>
        <v>#DIV/0!</v>
      </c>
      <c r="W40" s="81">
        <f>V41*0.4</f>
        <v>19.666666666666671</v>
      </c>
      <c r="AA40" s="26" t="s">
        <v>405</v>
      </c>
      <c r="AG40" s="2"/>
      <c r="AH40" s="2"/>
    </row>
    <row r="41" spans="1:34" ht="25.5" x14ac:dyDescent="0.2">
      <c r="A41" s="13">
        <v>20</v>
      </c>
      <c r="B41" s="39" t="s">
        <v>406</v>
      </c>
      <c r="C41" s="17" t="str">
        <f>'Para-responder'!C49</f>
        <v>NO APLICA</v>
      </c>
      <c r="D41" s="1" t="str">
        <f>IF(C41="SI",AA41," ")</f>
        <v xml:space="preserve"> </v>
      </c>
      <c r="E41" s="8"/>
      <c r="F41" s="8"/>
      <c r="N41" s="78"/>
      <c r="O41" s="89" t="s">
        <v>86</v>
      </c>
      <c r="P41" s="83"/>
      <c r="Q41" s="47"/>
      <c r="R41" s="47"/>
      <c r="S41" s="47"/>
      <c r="T41" s="83"/>
      <c r="U41" s="85">
        <f>(P42+Q42+SUM(R43:R46)+(SUM(S43:S46)/2))/(6-Q42)*100</f>
        <v>83.333333333333343</v>
      </c>
      <c r="V41" s="83">
        <f>IF(N47="NO APLICA",(U41+U55+U53+U57+U63)/5,(U41+U47+U55+U53+U57+U65+U63)/7)</f>
        <v>49.166666666666671</v>
      </c>
      <c r="W41" s="87"/>
      <c r="AA41" s="26" t="s">
        <v>407</v>
      </c>
      <c r="AG41" s="2"/>
      <c r="AH41" s="2"/>
    </row>
    <row r="42" spans="1:34" ht="25.5" x14ac:dyDescent="0.2">
      <c r="A42" s="13">
        <v>21</v>
      </c>
      <c r="B42" s="39" t="s">
        <v>408</v>
      </c>
      <c r="C42" s="17" t="str">
        <f>'Para-responder'!C50</f>
        <v>SI</v>
      </c>
      <c r="D42" s="1" t="str">
        <f>IF(C42="SI",AA42," ")</f>
        <v>Normativa institucional sobre rendición de cauciones</v>
      </c>
      <c r="E42" s="8"/>
      <c r="F42" s="8"/>
      <c r="N42" s="78">
        <f>2-Q42</f>
        <v>2</v>
      </c>
      <c r="O42" s="90" t="s">
        <v>98</v>
      </c>
      <c r="P42" s="47">
        <f>COUNTIF(C152:C153,"Si")</f>
        <v>2</v>
      </c>
      <c r="Q42" s="47">
        <f>COUNTIF(C153,"NO APLICA")</f>
        <v>0</v>
      </c>
      <c r="R42" s="47"/>
      <c r="S42" s="47"/>
      <c r="T42" s="83"/>
      <c r="U42" s="91"/>
      <c r="V42" s="83"/>
      <c r="W42" s="87"/>
      <c r="AA42" s="26" t="s">
        <v>409</v>
      </c>
      <c r="AG42" s="2"/>
      <c r="AH42" s="2"/>
    </row>
    <row r="43" spans="1:34" ht="25.5" x14ac:dyDescent="0.2">
      <c r="A43" s="13">
        <v>22</v>
      </c>
      <c r="B43" s="39" t="s">
        <v>410</v>
      </c>
      <c r="C43" s="17" t="str">
        <f>'Para-responder'!C51</f>
        <v>SI</v>
      </c>
      <c r="D43" s="1" t="str">
        <f>IF(C43="SI",AA43," ")</f>
        <v>Normativa institucional sobre informes de fin de gestión</v>
      </c>
      <c r="E43" s="8"/>
      <c r="F43" s="8"/>
      <c r="N43" s="78">
        <v>1</v>
      </c>
      <c r="O43" s="90" t="s">
        <v>99</v>
      </c>
      <c r="P43" s="47"/>
      <c r="Q43" s="47"/>
      <c r="R43" s="92">
        <f>IF(C166="Alto",1,0)</f>
        <v>1</v>
      </c>
      <c r="S43" s="92">
        <f>IF(C166="Medio",1,0)</f>
        <v>0</v>
      </c>
      <c r="T43" s="85"/>
      <c r="U43" s="91"/>
      <c r="V43" s="83"/>
      <c r="W43" s="87"/>
      <c r="AA43" s="26" t="s">
        <v>411</v>
      </c>
      <c r="AG43" s="2"/>
      <c r="AH43" s="2"/>
    </row>
    <row r="44" spans="1:34" x14ac:dyDescent="0.2">
      <c r="A44" s="8"/>
      <c r="B44" s="41" t="s">
        <v>412</v>
      </c>
      <c r="C44" s="38"/>
      <c r="D44" s="1"/>
      <c r="E44" s="8"/>
      <c r="F44" s="8"/>
      <c r="N44" s="78"/>
      <c r="O44" s="93" t="s">
        <v>100</v>
      </c>
      <c r="P44" s="47"/>
      <c r="Q44" s="94">
        <f>C156</f>
        <v>0.8783783783783784</v>
      </c>
      <c r="R44" s="95">
        <f>IF(Q44&gt;=0.85,1,0)</f>
        <v>1</v>
      </c>
      <c r="S44" s="95">
        <f>IF(AND(Q44&lt;0.85,Q44&gt;0.6),1,0)</f>
        <v>0</v>
      </c>
      <c r="T44" s="95">
        <f>IF(Q44&lt;=0.6,1,0)</f>
        <v>0</v>
      </c>
      <c r="U44" s="83"/>
      <c r="V44" s="83"/>
      <c r="W44" s="87"/>
      <c r="AA44" s="1"/>
      <c r="AG44" s="2"/>
      <c r="AH44" s="2"/>
    </row>
    <row r="45" spans="1:34" x14ac:dyDescent="0.2">
      <c r="A45" s="13">
        <v>23</v>
      </c>
      <c r="B45" s="39" t="s">
        <v>413</v>
      </c>
      <c r="C45" s="17" t="str">
        <f>'Para-responder'!C53</f>
        <v>SI</v>
      </c>
      <c r="D45" s="1" t="str">
        <f>IF(C45="SI",AA45," ")</f>
        <v>Plan estratégico de tecnologías de información</v>
      </c>
      <c r="E45" s="8"/>
      <c r="F45" s="8"/>
      <c r="N45" s="78"/>
      <c r="O45" s="93" t="s">
        <v>101</v>
      </c>
      <c r="P45" s="47"/>
      <c r="Q45" s="94">
        <f>C162</f>
        <v>0.89103888037388801</v>
      </c>
      <c r="R45" s="95">
        <f>IF(Q45&gt;=0.85,1,0)</f>
        <v>1</v>
      </c>
      <c r="S45" s="95">
        <f>IF(AND(Q45&lt;0.85,Q45&gt;0.6),1,0)</f>
        <v>0</v>
      </c>
      <c r="T45" s="95">
        <f>IF(Q45&lt;=0.6,1,0)</f>
        <v>0</v>
      </c>
      <c r="U45" s="83"/>
      <c r="V45" s="83"/>
      <c r="W45" s="87"/>
      <c r="AA45" s="26" t="s">
        <v>414</v>
      </c>
      <c r="AG45" s="2"/>
      <c r="AH45" s="2"/>
    </row>
    <row r="46" spans="1:34" x14ac:dyDescent="0.2">
      <c r="A46" s="8"/>
      <c r="B46" s="8"/>
      <c r="C46" s="17"/>
      <c r="D46" s="1"/>
      <c r="E46" s="8"/>
      <c r="F46" s="8"/>
      <c r="N46" s="78"/>
      <c r="O46" s="93" t="s">
        <v>32</v>
      </c>
      <c r="Q46" s="47">
        <f>C161</f>
        <v>1</v>
      </c>
      <c r="R46" s="95">
        <f>IF(Q46&gt;=80,1,0)</f>
        <v>0</v>
      </c>
      <c r="S46" s="95">
        <f>IF(AND(Q46&lt;80,Q46&gt;50),1,0)</f>
        <v>0</v>
      </c>
      <c r="T46" s="95">
        <f>IF(Q46&lt;=50,1,0)</f>
        <v>1</v>
      </c>
      <c r="U46" s="83"/>
      <c r="V46" s="83"/>
      <c r="W46" s="87"/>
      <c r="AA46" s="1"/>
    </row>
    <row r="47" spans="1:34" x14ac:dyDescent="0.2">
      <c r="A47" s="8"/>
      <c r="B47" s="21" t="s">
        <v>426</v>
      </c>
      <c r="C47" s="17"/>
      <c r="D47" s="1"/>
      <c r="E47" s="8"/>
      <c r="F47" s="8"/>
      <c r="N47" s="96" t="str">
        <f>'Para-responder'!C153</f>
        <v>NO APLICA</v>
      </c>
      <c r="O47" s="89" t="s">
        <v>87</v>
      </c>
      <c r="P47" s="47"/>
      <c r="Q47" s="97"/>
      <c r="R47" s="85"/>
      <c r="S47" s="95"/>
      <c r="T47" s="85"/>
      <c r="U47" s="98" t="e">
        <f>IF(N47="no disponibles",0,(SUM(R48:R52)+(SUM(S48:S52)/2))/5*100)</f>
        <v>#DIV/0!</v>
      </c>
      <c r="V47" s="83"/>
      <c r="W47" s="87"/>
      <c r="AA47" s="1"/>
    </row>
    <row r="48" spans="1:34" ht="25.5" x14ac:dyDescent="0.2">
      <c r="A48" s="13">
        <v>24</v>
      </c>
      <c r="B48" s="39" t="s">
        <v>427</v>
      </c>
      <c r="C48" s="17"/>
      <c r="D48" s="1"/>
      <c r="E48" s="8"/>
      <c r="F48" s="8"/>
      <c r="N48" s="78"/>
      <c r="O48" s="93" t="s">
        <v>102</v>
      </c>
      <c r="P48" s="47"/>
      <c r="Q48" s="99" t="e">
        <f>C172</f>
        <v>#DIV/0!</v>
      </c>
      <c r="R48" s="95" t="e">
        <f>IF(AND(Q48&lt;=2,Q48&gt;=1),1,0)</f>
        <v>#DIV/0!</v>
      </c>
      <c r="S48" s="95" t="e">
        <f>IF(OR(AND(Q48&lt;=2.1,2&lt;Q48),AND(0.9&lt;=Q48,Q48&lt;1)),1,0)</f>
        <v>#DIV/0!</v>
      </c>
      <c r="T48" s="95"/>
      <c r="U48" s="83"/>
      <c r="V48" s="83"/>
      <c r="W48" s="87"/>
    </row>
    <row r="49" spans="1:27" x14ac:dyDescent="0.2">
      <c r="A49" s="13"/>
      <c r="B49" s="44" t="s">
        <v>428</v>
      </c>
      <c r="C49" s="17" t="str">
        <f>'Para-responder'!C63</f>
        <v>SI</v>
      </c>
      <c r="D49" s="1" t="str">
        <f t="shared" ref="D49:D56" si="4">IF(C49="SI",AA49," ")</f>
        <v>Normativa interna sobre planificación de contratación administrativa</v>
      </c>
      <c r="E49" s="8"/>
      <c r="F49" s="8"/>
      <c r="N49" s="100"/>
      <c r="O49" s="101" t="s">
        <v>134</v>
      </c>
      <c r="P49" s="83"/>
      <c r="Q49" s="102">
        <f>4.74/100</f>
        <v>4.7400000000000005E-2</v>
      </c>
      <c r="R49" s="85"/>
      <c r="S49" s="85"/>
      <c r="T49" s="85"/>
      <c r="U49" s="83"/>
      <c r="V49" s="83"/>
      <c r="W49" s="87"/>
      <c r="AA49" s="26" t="s">
        <v>429</v>
      </c>
    </row>
    <row r="50" spans="1:27" ht="25.5" x14ac:dyDescent="0.2">
      <c r="A50" s="13"/>
      <c r="B50" s="44" t="s">
        <v>430</v>
      </c>
      <c r="C50" s="17" t="str">
        <f>'Para-responder'!C64</f>
        <v>SI</v>
      </c>
      <c r="D50" s="1" t="str">
        <f t="shared" si="4"/>
        <v>Normativa interna sobre ejecución de procedimientos de contratación administrativa</v>
      </c>
      <c r="E50" s="8"/>
      <c r="F50" s="8"/>
      <c r="N50" s="78"/>
      <c r="O50" s="93" t="s">
        <v>104</v>
      </c>
      <c r="P50" s="47"/>
      <c r="Q50" s="94" t="e">
        <f>C173</f>
        <v>#DIV/0!</v>
      </c>
      <c r="R50" s="95" t="e">
        <f>IF(Q50&gt;=0.85,1,0)</f>
        <v>#DIV/0!</v>
      </c>
      <c r="S50" s="95" t="e">
        <f>IF(AND((0.85&gt;Q50), (Q50&gt;0.6)),1,0)</f>
        <v>#DIV/0!</v>
      </c>
      <c r="T50" s="95" t="e">
        <f>IF(0.6&gt;=Q50,1,0)</f>
        <v>#DIV/0!</v>
      </c>
      <c r="U50" s="83"/>
      <c r="V50" s="83"/>
      <c r="W50" s="87"/>
      <c r="AA50" s="26" t="s">
        <v>431</v>
      </c>
    </row>
    <row r="51" spans="1:27" x14ac:dyDescent="0.2">
      <c r="A51" s="13"/>
      <c r="B51" s="44" t="s">
        <v>432</v>
      </c>
      <c r="C51" s="17" t="str">
        <f>'Para-responder'!C65</f>
        <v>SI</v>
      </c>
      <c r="D51" s="1" t="str">
        <f t="shared" si="4"/>
        <v>Nomativa interna sobre aprobación interna de contratos</v>
      </c>
      <c r="E51" s="8"/>
      <c r="F51" s="8"/>
      <c r="N51" s="78"/>
      <c r="O51" s="93" t="s">
        <v>105</v>
      </c>
      <c r="P51" s="47"/>
      <c r="Q51" s="103" t="e">
        <f>C174</f>
        <v>#DIV/0!</v>
      </c>
      <c r="R51" s="95" t="e">
        <f>IF(Q51&gt;=0.85,1,0)</f>
        <v>#DIV/0!</v>
      </c>
      <c r="S51" s="95" t="e">
        <f>IF(AND((0.85&gt;Q51), (Q51&gt;0.6)),1,0)</f>
        <v>#DIV/0!</v>
      </c>
      <c r="T51" s="95" t="e">
        <f>IF(0.6&gt;=Q51,1,0)</f>
        <v>#DIV/0!</v>
      </c>
      <c r="U51" s="83"/>
      <c r="V51" s="83"/>
      <c r="W51" s="87"/>
      <c r="AA51" s="26" t="s">
        <v>433</v>
      </c>
    </row>
    <row r="52" spans="1:27" x14ac:dyDescent="0.2">
      <c r="A52" s="13"/>
      <c r="B52" s="44" t="s">
        <v>434</v>
      </c>
      <c r="C52" s="17" t="str">
        <f>'Para-responder'!C66</f>
        <v>SI</v>
      </c>
      <c r="D52" s="1" t="str">
        <f t="shared" si="4"/>
        <v>Normativa interna sobre control de contratos</v>
      </c>
      <c r="E52" s="8"/>
      <c r="F52" s="8"/>
      <c r="N52" s="78"/>
      <c r="O52" s="93" t="s">
        <v>106</v>
      </c>
      <c r="P52" s="47"/>
      <c r="Q52" s="85" t="e">
        <f>C175</f>
        <v>#DIV/0!</v>
      </c>
      <c r="R52" s="95" t="e">
        <f>IF(B6="Sector Financiero",IF(Q52&gt;=0.85,1,0),IF(Q52&lt;=0.15,1,0))</f>
        <v>#DIV/0!</v>
      </c>
      <c r="S52" s="95" t="e">
        <f>IF(B9="Sector Financiero",IF(AND((0.85&gt;Q51), (Q51&gt;0.6)),1,0),IF(AND((0.15&lt;Q51), (Q51&lt;0.4)),1,0))</f>
        <v>#DIV/0!</v>
      </c>
      <c r="T52" s="95"/>
      <c r="U52" s="83"/>
      <c r="V52" s="83"/>
      <c r="W52" s="87"/>
      <c r="AA52" s="26" t="s">
        <v>435</v>
      </c>
    </row>
    <row r="53" spans="1:27" ht="25.5" x14ac:dyDescent="0.2">
      <c r="A53" s="13">
        <v>25</v>
      </c>
      <c r="B53" s="39" t="s">
        <v>436</v>
      </c>
      <c r="C53" s="17" t="str">
        <f>'Para-responder'!C67</f>
        <v>SI</v>
      </c>
      <c r="D53" s="1" t="str">
        <f t="shared" si="4"/>
        <v>Regulación interna sobre plazos máximos para las actividades del proceso de contratación administrativa</v>
      </c>
      <c r="E53" s="8"/>
      <c r="F53" s="8"/>
      <c r="N53" s="78"/>
      <c r="O53" s="89" t="s">
        <v>88</v>
      </c>
      <c r="P53" s="83"/>
      <c r="T53" s="85"/>
      <c r="U53" s="86">
        <f>(R54+(S54/2))*100</f>
        <v>100</v>
      </c>
      <c r="V53" s="83"/>
      <c r="W53" s="87"/>
      <c r="AA53" s="26" t="s">
        <v>437</v>
      </c>
    </row>
    <row r="54" spans="1:27" x14ac:dyDescent="0.2">
      <c r="A54" s="13">
        <v>26</v>
      </c>
      <c r="B54" s="39" t="s">
        <v>438</v>
      </c>
      <c r="C54" s="17" t="str">
        <f>'Para-responder'!C68</f>
        <v>SI</v>
      </c>
      <c r="D54" s="1" t="str">
        <f t="shared" si="4"/>
        <v>Programa de Capacitación o similar</v>
      </c>
      <c r="E54" s="8"/>
      <c r="F54" s="8"/>
      <c r="N54" s="78"/>
      <c r="O54" s="104" t="s">
        <v>107</v>
      </c>
      <c r="P54" s="83"/>
      <c r="Q54" s="47" t="str">
        <f>C178</f>
        <v>NO APLICA</v>
      </c>
      <c r="R54" s="95">
        <f>IF(Q54&gt;=85,1,0)</f>
        <v>1</v>
      </c>
      <c r="S54" s="95">
        <f>IF(AND((85&gt;Q54), (Q54&gt;60)),1,0)</f>
        <v>0</v>
      </c>
      <c r="T54" s="85"/>
      <c r="U54" s="86"/>
      <c r="V54" s="83"/>
      <c r="W54" s="87"/>
      <c r="AA54" s="26" t="s">
        <v>439</v>
      </c>
    </row>
    <row r="55" spans="1:27" ht="25.5" x14ac:dyDescent="0.2">
      <c r="A55" s="13">
        <v>27</v>
      </c>
      <c r="B55" s="39" t="s">
        <v>440</v>
      </c>
      <c r="C55" s="17" t="str">
        <f>'Para-responder'!C69</f>
        <v>SI</v>
      </c>
      <c r="D55" s="1" t="str">
        <f t="shared" si="4"/>
        <v>Documento descriptivo de la organización establecida para los procesos de contratación administrativa</v>
      </c>
      <c r="E55" s="8"/>
      <c r="F55" s="8"/>
      <c r="N55" s="78"/>
      <c r="O55" s="89" t="s">
        <v>89</v>
      </c>
      <c r="P55" s="47"/>
      <c r="T55" s="95"/>
      <c r="U55" s="105">
        <f>(R56+(S56/2))*100</f>
        <v>0</v>
      </c>
      <c r="V55" s="83"/>
      <c r="W55" s="87"/>
      <c r="AA55" s="26" t="s">
        <v>441</v>
      </c>
    </row>
    <row r="56" spans="1:27" ht="25.5" x14ac:dyDescent="0.2">
      <c r="A56" s="13">
        <v>28</v>
      </c>
      <c r="B56" s="39" t="s">
        <v>442</v>
      </c>
      <c r="C56" s="17" t="str">
        <f>'Para-responder'!C70</f>
        <v>SI</v>
      </c>
      <c r="D56" s="1" t="str">
        <f t="shared" si="4"/>
        <v>Documentación de puestos o procesos, según corresponda</v>
      </c>
      <c r="E56" s="8"/>
      <c r="F56" s="8"/>
      <c r="N56" s="78"/>
      <c r="O56" s="104" t="s">
        <v>107</v>
      </c>
      <c r="P56" s="47"/>
      <c r="Q56" s="92">
        <f>C180</f>
        <v>0.87222266448865426</v>
      </c>
      <c r="R56" s="95">
        <f>IF(AND(Q56&lt;=1.1,Q56&gt;=0.9),1,0)</f>
        <v>0</v>
      </c>
      <c r="S56" s="95">
        <f>IF(OR(AND(Q56&lt;=0.85,Q56&lt;0.9),AND(1&lt;Q56,Q56&lt;=1.15)),1,0)</f>
        <v>0</v>
      </c>
      <c r="T56" s="95"/>
      <c r="U56" s="105"/>
      <c r="V56" s="83"/>
      <c r="W56" s="87"/>
      <c r="AA56" s="26" t="s">
        <v>443</v>
      </c>
    </row>
    <row r="57" spans="1:27" x14ac:dyDescent="0.2">
      <c r="A57" s="8"/>
      <c r="B57" s="8"/>
      <c r="C57" s="17"/>
      <c r="D57" s="1"/>
      <c r="E57" s="8"/>
      <c r="F57" s="8"/>
      <c r="N57" s="100"/>
      <c r="O57" s="89" t="s">
        <v>90</v>
      </c>
      <c r="P57" s="83"/>
      <c r="Q57" s="92"/>
      <c r="R57" s="47"/>
      <c r="S57" s="47"/>
      <c r="T57" s="83"/>
      <c r="U57" s="85">
        <f>((P58+SUM(R59:R62)+(SUM(S59:S62)/2))/(N58+4))*100</f>
        <v>62.5</v>
      </c>
      <c r="V57" s="83"/>
      <c r="W57" s="87"/>
      <c r="AA57" s="1"/>
    </row>
    <row r="58" spans="1:27" x14ac:dyDescent="0.2">
      <c r="A58" s="8"/>
      <c r="B58" s="21" t="s">
        <v>450</v>
      </c>
      <c r="C58" s="17"/>
      <c r="D58" s="1"/>
      <c r="E58" s="8"/>
      <c r="F58" s="8"/>
      <c r="N58" s="78">
        <v>4</v>
      </c>
      <c r="O58" s="90" t="s">
        <v>98</v>
      </c>
      <c r="P58" s="47">
        <f>COUNTIF(C185:C188,"Si")</f>
        <v>3</v>
      </c>
      <c r="Q58" s="92"/>
      <c r="R58" s="47"/>
      <c r="S58" s="47"/>
      <c r="T58" s="83"/>
      <c r="U58" s="106"/>
      <c r="V58" s="83"/>
      <c r="W58" s="87"/>
      <c r="AA58" s="1"/>
    </row>
    <row r="59" spans="1:27" x14ac:dyDescent="0.2">
      <c r="A59" s="13">
        <v>29</v>
      </c>
      <c r="B59" s="33" t="s">
        <v>451</v>
      </c>
      <c r="C59" s="17"/>
      <c r="D59" s="1"/>
      <c r="E59" s="8"/>
      <c r="F59" s="8"/>
      <c r="N59" s="78"/>
      <c r="O59" s="90" t="s">
        <v>108</v>
      </c>
      <c r="P59" s="47"/>
      <c r="Q59" s="94">
        <f>C189</f>
        <v>0.88857895078292459</v>
      </c>
      <c r="R59" s="107">
        <f>IF(Q59&gt;=0.85,1,0)</f>
        <v>1</v>
      </c>
      <c r="S59" s="107">
        <f>IF(AND(Q59&lt;0.85,Q59&gt;0.6),1,0)</f>
        <v>0</v>
      </c>
      <c r="T59" s="107"/>
      <c r="U59" s="83"/>
      <c r="V59" s="83"/>
      <c r="W59" s="87"/>
      <c r="AA59" s="1"/>
    </row>
    <row r="60" spans="1:27" x14ac:dyDescent="0.2">
      <c r="A60" s="8"/>
      <c r="B60" s="35" t="s">
        <v>452</v>
      </c>
      <c r="C60" s="17" t="str">
        <f>'Para-responder'!C77</f>
        <v>SI</v>
      </c>
      <c r="D60" s="1" t="str">
        <f>IF(C60="SI",AA60," ")</f>
        <v>Documentación de mecanismos o regulaciones sobre el particular</v>
      </c>
      <c r="E60" s="8"/>
      <c r="F60" s="8"/>
      <c r="N60" s="78"/>
      <c r="O60" s="90" t="s">
        <v>109</v>
      </c>
      <c r="P60" s="47"/>
      <c r="Q60" s="94">
        <f>C192</f>
        <v>-2.4062236984601164E-3</v>
      </c>
      <c r="R60" s="107">
        <f>IF(Q60&lt;=0.15,1,0)</f>
        <v>1</v>
      </c>
      <c r="S60" s="107">
        <f>IF(AND(Q60&lt;0.4,Q60&gt;0.15),1,0)</f>
        <v>0</v>
      </c>
      <c r="T60" s="107"/>
      <c r="U60" s="83"/>
      <c r="V60" s="83"/>
      <c r="W60" s="87"/>
      <c r="AA60" s="26" t="s">
        <v>454</v>
      </c>
    </row>
    <row r="61" spans="1:27" ht="25.5" x14ac:dyDescent="0.2">
      <c r="A61" s="8"/>
      <c r="B61" s="35" t="s">
        <v>455</v>
      </c>
      <c r="C61" s="17" t="str">
        <f>'Para-responder'!C78</f>
        <v>SI</v>
      </c>
      <c r="D61" s="1" t="str">
        <f>IF(C61="SI",AA61," ")</f>
        <v>Indicación del funcionario y documento en que conste su designación y comunicación a la Contraloría General</v>
      </c>
      <c r="E61" s="8"/>
      <c r="F61" s="8"/>
      <c r="N61" s="78"/>
      <c r="O61" s="90" t="s">
        <v>110</v>
      </c>
      <c r="P61" s="47"/>
      <c r="Q61" s="94">
        <f>C196</f>
        <v>0</v>
      </c>
      <c r="R61" s="107">
        <f>IF(Q61&gt;=0.85,1,0)</f>
        <v>0</v>
      </c>
      <c r="S61" s="107">
        <f>IF(AND(Q61&lt;0.85,Q61&gt;0.6),1,0)</f>
        <v>0</v>
      </c>
      <c r="T61" s="107"/>
      <c r="U61" s="83"/>
      <c r="V61" s="83"/>
      <c r="W61" s="87"/>
      <c r="AA61" s="45" t="s">
        <v>456</v>
      </c>
    </row>
    <row r="62" spans="1:27" x14ac:dyDescent="0.2">
      <c r="A62" s="13">
        <v>30</v>
      </c>
      <c r="B62" s="33" t="s">
        <v>457</v>
      </c>
      <c r="C62" s="17" t="str">
        <f>'Para-responder'!C79</f>
        <v>SI</v>
      </c>
      <c r="D62" s="1" t="str">
        <f>IF(C62="SI",AA62," ")</f>
        <v>Manual de procedimientos del proceso presupuestario</v>
      </c>
      <c r="E62" s="8"/>
      <c r="F62" s="8"/>
      <c r="N62" s="78"/>
      <c r="O62" s="90" t="s">
        <v>111</v>
      </c>
      <c r="P62" s="47"/>
      <c r="Q62" s="94">
        <f>C199</f>
        <v>0</v>
      </c>
      <c r="R62" s="107">
        <f>IF(Q62&gt;=0.85,1,0)</f>
        <v>0</v>
      </c>
      <c r="S62" s="107">
        <f>IF(AND(Q62&lt;0.85,Q62&gt;0.6),1,0)</f>
        <v>0</v>
      </c>
      <c r="T62" s="107"/>
      <c r="U62" s="83"/>
      <c r="V62" s="83"/>
      <c r="W62" s="87"/>
      <c r="AA62" s="26" t="s">
        <v>458</v>
      </c>
    </row>
    <row r="63" spans="1:27" x14ac:dyDescent="0.2">
      <c r="A63" s="13">
        <v>31</v>
      </c>
      <c r="B63" s="33" t="s">
        <v>459</v>
      </c>
      <c r="C63" s="17" t="str">
        <f>'Para-responder'!C80</f>
        <v>SI</v>
      </c>
      <c r="D63" s="1" t="str">
        <f>IF(C63="SI",AA63," ")</f>
        <v>Presupuesto inicial vigente</v>
      </c>
      <c r="E63" s="8"/>
      <c r="F63" s="8"/>
      <c r="I63" s="8"/>
      <c r="J63" s="8"/>
      <c r="K63" s="8"/>
      <c r="L63" s="1"/>
      <c r="N63" s="78"/>
      <c r="O63" s="79" t="s">
        <v>92</v>
      </c>
      <c r="P63" s="47"/>
      <c r="R63" s="107"/>
      <c r="S63" s="107"/>
      <c r="T63" s="107"/>
      <c r="U63" s="83">
        <f>(R64+S64/2)*100</f>
        <v>0</v>
      </c>
      <c r="V63" s="83"/>
      <c r="W63" s="87"/>
      <c r="AA63" s="26" t="s">
        <v>460</v>
      </c>
    </row>
    <row r="64" spans="1:27" x14ac:dyDescent="0.2">
      <c r="A64" s="8"/>
      <c r="B64" s="46"/>
      <c r="C64" s="17"/>
      <c r="D64" s="1"/>
      <c r="E64" s="8"/>
      <c r="F64" s="8"/>
      <c r="G64" s="13"/>
      <c r="I64" s="8"/>
      <c r="J64" s="8"/>
      <c r="K64" s="8"/>
      <c r="L64" s="1"/>
      <c r="N64" s="78"/>
      <c r="O64" s="104" t="s">
        <v>107</v>
      </c>
      <c r="P64" s="47"/>
      <c r="Q64" s="92">
        <f>C205</f>
        <v>0</v>
      </c>
      <c r="R64" s="107">
        <f>IF(Q64&gt;=85,1,0)</f>
        <v>0</v>
      </c>
      <c r="S64" s="107">
        <f>IF(AND(Q64&lt;85,Q64&gt;60),1,0)</f>
        <v>0</v>
      </c>
      <c r="T64" s="107"/>
      <c r="U64" s="83"/>
      <c r="V64" s="83"/>
      <c r="W64" s="87"/>
      <c r="AA64" s="26"/>
    </row>
    <row r="65" spans="1:27" x14ac:dyDescent="0.2">
      <c r="A65" s="8"/>
      <c r="B65" s="21" t="s">
        <v>473</v>
      </c>
      <c r="C65" s="17"/>
      <c r="D65" s="1"/>
      <c r="E65" s="8"/>
      <c r="F65" s="8"/>
      <c r="G65" s="13"/>
      <c r="I65" s="8"/>
      <c r="J65" s="8"/>
      <c r="K65" s="8"/>
      <c r="L65" s="1"/>
      <c r="N65" s="78"/>
      <c r="O65" s="89" t="s">
        <v>93</v>
      </c>
      <c r="P65" s="47"/>
      <c r="Q65" s="92"/>
      <c r="R65" s="107"/>
      <c r="S65" s="107"/>
      <c r="T65" s="107"/>
      <c r="U65" s="85">
        <f>(R66+(S66/2))*100</f>
        <v>0</v>
      </c>
      <c r="V65" s="83"/>
      <c r="W65" s="87"/>
      <c r="AA65" s="1"/>
    </row>
    <row r="66" spans="1:27" x14ac:dyDescent="0.2">
      <c r="A66" s="13">
        <v>32</v>
      </c>
      <c r="B66" s="33" t="s">
        <v>474</v>
      </c>
      <c r="C66" s="17"/>
      <c r="D66" s="1"/>
      <c r="E66" s="46"/>
      <c r="F66" s="46"/>
      <c r="G66" s="13"/>
      <c r="I66" s="8"/>
      <c r="J66" s="8"/>
      <c r="K66" s="8"/>
      <c r="L66" s="1"/>
      <c r="N66" s="78"/>
      <c r="O66" s="90" t="s">
        <v>112</v>
      </c>
      <c r="P66" s="47"/>
      <c r="Q66" s="94">
        <f>C208</f>
        <v>2</v>
      </c>
      <c r="R66" s="95">
        <f>IF(Q66&lt;=(0.05/(0.05+Q67/8)),1,0)</f>
        <v>0</v>
      </c>
      <c r="S66" s="95">
        <f>IF(AND(Q66&gt;=(0.05/(0.05+Q67/8)),Q66&lt;=1),1,0)</f>
        <v>0</v>
      </c>
      <c r="T66" s="107"/>
      <c r="U66" s="83"/>
      <c r="V66" s="83"/>
      <c r="W66" s="87"/>
      <c r="AA66" s="46"/>
    </row>
    <row r="67" spans="1:27" ht="25.5" x14ac:dyDescent="0.2">
      <c r="A67" s="13"/>
      <c r="B67" s="33" t="s">
        <v>475</v>
      </c>
      <c r="C67" s="17" t="str">
        <f>'Para-responder'!C90</f>
        <v>NO</v>
      </c>
      <c r="D67" s="1" t="str">
        <f>IF(C67="SI",AA67," ")</f>
        <v xml:space="preserve"> </v>
      </c>
      <c r="E67" s="46"/>
      <c r="F67" s="46"/>
      <c r="G67" s="13"/>
      <c r="I67" s="8"/>
      <c r="J67" s="8"/>
      <c r="K67" s="8"/>
      <c r="L67" s="1"/>
      <c r="N67" s="78"/>
      <c r="O67" s="101" t="s">
        <v>103</v>
      </c>
      <c r="P67" s="83"/>
      <c r="Q67" s="102">
        <f>5.82/100</f>
        <v>5.8200000000000002E-2</v>
      </c>
      <c r="R67" s="107"/>
      <c r="S67" s="107"/>
      <c r="T67" s="107"/>
      <c r="U67" s="83"/>
      <c r="V67" s="83"/>
      <c r="W67" s="87"/>
      <c r="AA67" s="26" t="s">
        <v>476</v>
      </c>
    </row>
    <row r="68" spans="1:27" ht="25.5" x14ac:dyDescent="0.2">
      <c r="A68" s="13"/>
      <c r="B68" s="33" t="s">
        <v>113</v>
      </c>
      <c r="C68" s="17" t="str">
        <f>'Para-responder'!C91</f>
        <v>NO</v>
      </c>
      <c r="D68" s="1" t="str">
        <f>IF(C68="SI",AA68," ")</f>
        <v xml:space="preserve"> </v>
      </c>
      <c r="E68" s="46"/>
      <c r="F68" s="46"/>
      <c r="G68" s="46"/>
      <c r="H68" s="46"/>
      <c r="I68" s="46"/>
      <c r="J68" s="46"/>
      <c r="K68" s="46"/>
      <c r="L68" s="46"/>
      <c r="M68" s="46"/>
      <c r="N68" s="78"/>
      <c r="O68" s="89" t="s">
        <v>91</v>
      </c>
      <c r="P68" s="47"/>
      <c r="Q68" s="92">
        <f>C213</f>
        <v>0</v>
      </c>
      <c r="R68" s="47">
        <f>IF(Q68&gt;85,1,0)</f>
        <v>0</v>
      </c>
      <c r="S68" s="47">
        <f>IF(AND(Q68&lt;85,Q68&gt;60),1,0)</f>
        <v>0</v>
      </c>
      <c r="T68" s="83"/>
      <c r="U68" s="85"/>
      <c r="V68" s="83"/>
      <c r="W68" s="87"/>
      <c r="Y68" s="46"/>
      <c r="Z68" s="46"/>
      <c r="AA68" s="26" t="s">
        <v>478</v>
      </c>
    </row>
    <row r="69" spans="1:27" ht="26.25" thickBot="1" x14ac:dyDescent="0.25">
      <c r="A69" s="13"/>
      <c r="B69" s="33" t="s">
        <v>479</v>
      </c>
      <c r="C69" s="17" t="str">
        <f>'Para-responder'!C92</f>
        <v>NO</v>
      </c>
      <c r="D69" s="1" t="str">
        <f>IF(C69="SI",AA69," ")</f>
        <v xml:space="preserve"> </v>
      </c>
      <c r="E69" s="46"/>
      <c r="F69" s="46"/>
      <c r="G69" s="46"/>
      <c r="H69" s="46"/>
      <c r="I69" s="46"/>
      <c r="J69" s="46"/>
      <c r="K69" s="46"/>
      <c r="L69" s="46"/>
      <c r="M69" s="46"/>
      <c r="N69" s="108"/>
      <c r="O69" s="109"/>
      <c r="P69" s="110"/>
      <c r="Q69" s="111"/>
      <c r="R69" s="110"/>
      <c r="S69" s="110"/>
      <c r="T69" s="112"/>
      <c r="U69" s="112"/>
      <c r="V69" s="112"/>
      <c r="W69" s="113"/>
      <c r="Y69" s="46"/>
      <c r="Z69" s="46"/>
      <c r="AA69" s="26" t="s">
        <v>480</v>
      </c>
    </row>
    <row r="70" spans="1:27" x14ac:dyDescent="0.2">
      <c r="A70" s="13">
        <v>33</v>
      </c>
      <c r="B70" s="33" t="s">
        <v>481</v>
      </c>
      <c r="C70" s="17"/>
      <c r="D70" s="1"/>
      <c r="E70" s="46"/>
      <c r="F70" s="46"/>
      <c r="G70" s="46"/>
      <c r="H70" s="46"/>
      <c r="I70" s="46"/>
      <c r="J70" s="46"/>
      <c r="K70" s="46"/>
      <c r="L70" s="46"/>
      <c r="M70" s="46"/>
      <c r="X70" s="46"/>
      <c r="Y70" s="46"/>
      <c r="Z70" s="46"/>
      <c r="AA70" s="26"/>
    </row>
    <row r="71" spans="1:27" x14ac:dyDescent="0.2">
      <c r="A71" s="13"/>
      <c r="B71" s="33" t="s">
        <v>482</v>
      </c>
      <c r="C71" s="17" t="str">
        <f>'Para-responder'!C94</f>
        <v>NO</v>
      </c>
      <c r="D71" s="1" t="str">
        <f>IF(C71="SI",AA74," ")</f>
        <v xml:space="preserve"> </v>
      </c>
      <c r="E71" s="46"/>
      <c r="F71" s="46"/>
      <c r="G71" s="46"/>
      <c r="H71" s="46"/>
      <c r="I71" s="46"/>
      <c r="J71" s="46"/>
      <c r="K71" s="46"/>
      <c r="L71" s="46"/>
      <c r="M71" s="46"/>
      <c r="O71" s="114"/>
      <c r="P71" s="115" t="s">
        <v>114</v>
      </c>
      <c r="X71" s="46"/>
      <c r="Y71" s="46"/>
      <c r="Z71" s="46"/>
      <c r="AA71" s="26" t="s">
        <v>483</v>
      </c>
    </row>
    <row r="72" spans="1:27" x14ac:dyDescent="0.2">
      <c r="A72" s="13"/>
      <c r="B72" s="33" t="s">
        <v>484</v>
      </c>
      <c r="C72" s="17" t="str">
        <f>'Para-responder'!C95</f>
        <v>NO</v>
      </c>
      <c r="D72" s="1" t="str">
        <f>IF(C72="SI",AA75," ")</f>
        <v xml:space="preserve"> </v>
      </c>
      <c r="E72" s="46"/>
      <c r="F72" s="8"/>
      <c r="G72" s="46"/>
      <c r="H72" s="46"/>
      <c r="I72" s="46"/>
      <c r="J72" s="46"/>
      <c r="K72" s="46"/>
      <c r="L72" s="46"/>
      <c r="M72" s="46"/>
      <c r="O72" s="47" t="s">
        <v>86</v>
      </c>
      <c r="P72" s="116">
        <f>U21*0.2+U31*0.4+U41*0.4</f>
        <v>93.333333333333343</v>
      </c>
      <c r="X72" s="46"/>
      <c r="Y72" s="46"/>
      <c r="Z72" s="46"/>
      <c r="AA72" s="26" t="s">
        <v>485</v>
      </c>
    </row>
    <row r="73" spans="1:27" ht="38.25" x14ac:dyDescent="0.2">
      <c r="A73" s="13">
        <v>34</v>
      </c>
      <c r="B73" s="33" t="s">
        <v>486</v>
      </c>
      <c r="C73" s="17" t="str">
        <f>'Para-responder'!C96</f>
        <v>NO</v>
      </c>
      <c r="D73" s="1" t="str">
        <f>IF(C73="SI",AA76," ")</f>
        <v xml:space="preserve"> </v>
      </c>
      <c r="E73" s="8"/>
      <c r="F73" s="8"/>
      <c r="G73" s="46"/>
      <c r="H73" s="46"/>
      <c r="I73" s="46"/>
      <c r="J73" s="46"/>
      <c r="K73" s="46"/>
      <c r="L73" s="46"/>
      <c r="M73" s="46"/>
      <c r="O73" s="47" t="s">
        <v>87</v>
      </c>
      <c r="P73" s="116" t="e">
        <f>U22*0.2+U32*0.4+U47*0.4</f>
        <v>#DIV/0!</v>
      </c>
      <c r="X73" s="46"/>
      <c r="Y73" s="46"/>
      <c r="Z73" s="46"/>
      <c r="AA73" s="26" t="s">
        <v>487</v>
      </c>
    </row>
    <row r="74" spans="1:27" ht="42" customHeight="1" x14ac:dyDescent="0.2">
      <c r="A74" s="13">
        <v>35</v>
      </c>
      <c r="B74" s="33" t="s">
        <v>489</v>
      </c>
      <c r="C74" s="17" t="str">
        <f>'Para-responder'!C97</f>
        <v>SI</v>
      </c>
      <c r="D74" s="1" t="str">
        <f>IF(C74="SI",AA77," ")</f>
        <v>Mostrar la licencia del antivirus</v>
      </c>
      <c r="E74" s="8"/>
      <c r="F74" s="8"/>
      <c r="G74" s="13"/>
      <c r="I74" s="8"/>
      <c r="J74" s="8"/>
      <c r="K74" s="8"/>
      <c r="L74" s="1"/>
      <c r="O74" s="47" t="s">
        <v>88</v>
      </c>
      <c r="P74" s="116">
        <f>U23*0.2+U33*0.4+U53*0.4</f>
        <v>78.333333333333329</v>
      </c>
      <c r="X74" s="46"/>
      <c r="AA74" s="26" t="s">
        <v>490</v>
      </c>
    </row>
    <row r="75" spans="1:27" ht="25.5" x14ac:dyDescent="0.2">
      <c r="A75" s="13">
        <v>36</v>
      </c>
      <c r="B75" s="39" t="s">
        <v>491</v>
      </c>
      <c r="C75" s="17"/>
      <c r="D75" s="1"/>
      <c r="E75" s="8"/>
      <c r="F75" s="8"/>
      <c r="G75" s="13"/>
      <c r="I75" s="8"/>
      <c r="J75" s="8"/>
      <c r="K75" s="8"/>
      <c r="L75" s="1"/>
      <c r="O75" s="47" t="s">
        <v>89</v>
      </c>
      <c r="P75" s="117">
        <f>U24*0.2+U34*0.4+U55*0.4</f>
        <v>46.666666666666664</v>
      </c>
      <c r="X75" s="46"/>
      <c r="AA75" s="26"/>
    </row>
    <row r="76" spans="1:27" x14ac:dyDescent="0.2">
      <c r="A76" s="8"/>
      <c r="B76" s="33" t="s">
        <v>115</v>
      </c>
      <c r="C76" s="17" t="str">
        <f>'Para-responder'!C99</f>
        <v>SI</v>
      </c>
      <c r="D76" s="1" t="str">
        <f>IF(C76="SI",AA76," ")</f>
        <v>Captura de la página respectiva</v>
      </c>
      <c r="E76" s="8"/>
      <c r="F76" s="8"/>
      <c r="G76" s="13"/>
      <c r="I76" s="8"/>
      <c r="J76" s="8"/>
      <c r="K76" s="8"/>
      <c r="L76" s="1"/>
      <c r="O76" s="47" t="s">
        <v>90</v>
      </c>
      <c r="P76" s="116">
        <f>U25*0.2+U35*0.4+U57*0.4</f>
        <v>85</v>
      </c>
      <c r="AA76" s="26" t="s">
        <v>492</v>
      </c>
    </row>
    <row r="77" spans="1:27" ht="25.5" x14ac:dyDescent="0.2">
      <c r="A77" s="8"/>
      <c r="B77" s="33" t="s">
        <v>116</v>
      </c>
      <c r="C77" s="17" t="str">
        <f>'Para-responder'!C100</f>
        <v>SI</v>
      </c>
      <c r="D77" s="1" t="str">
        <f>IF(C77="SI",AA77," ")</f>
        <v>Mostrar la licencia del antivirus</v>
      </c>
      <c r="E77" s="8"/>
      <c r="F77" s="8"/>
      <c r="G77" s="13"/>
      <c r="I77" s="8"/>
      <c r="J77" s="8"/>
      <c r="K77" s="8"/>
      <c r="L77" s="1"/>
      <c r="O77" s="47" t="s">
        <v>91</v>
      </c>
      <c r="P77" s="118">
        <f>U26*0.5+U68*0.5</f>
        <v>16.666666666666664</v>
      </c>
      <c r="AA77" s="26" t="s">
        <v>494</v>
      </c>
    </row>
    <row r="78" spans="1:27" x14ac:dyDescent="0.2">
      <c r="A78" s="8"/>
      <c r="B78" s="33" t="s">
        <v>117</v>
      </c>
      <c r="C78" s="17" t="str">
        <f>'Para-responder'!C101</f>
        <v>NO</v>
      </c>
      <c r="D78" s="1" t="str">
        <f>IF(C78="SI",AA78," ")</f>
        <v xml:space="preserve"> </v>
      </c>
      <c r="E78" s="8"/>
      <c r="F78" s="8"/>
      <c r="G78" s="13"/>
      <c r="I78" s="8"/>
      <c r="J78" s="8"/>
      <c r="K78" s="8"/>
      <c r="L78" s="1"/>
      <c r="O78" s="47" t="s">
        <v>92</v>
      </c>
      <c r="P78" s="118">
        <f>U27*0.4+U37*0.6</f>
        <v>88</v>
      </c>
      <c r="AA78" s="26" t="s">
        <v>492</v>
      </c>
    </row>
    <row r="79" spans="1:27" ht="15.75" thickBot="1" x14ac:dyDescent="0.25">
      <c r="A79" s="8"/>
      <c r="B79" s="28"/>
      <c r="C79" s="17"/>
      <c r="D79" s="1"/>
      <c r="E79" s="8"/>
      <c r="F79" s="8"/>
      <c r="G79" s="13"/>
      <c r="I79" s="8"/>
      <c r="J79" s="8"/>
      <c r="K79" s="8"/>
      <c r="L79" s="1"/>
      <c r="N79" s="46"/>
      <c r="O79" s="119" t="s">
        <v>93</v>
      </c>
      <c r="P79" s="120">
        <f>U28*0.2+U38*0.4+U65*0.4</f>
        <v>33.333333333333329</v>
      </c>
      <c r="Q79" s="46"/>
      <c r="R79" s="46"/>
      <c r="S79" s="46"/>
      <c r="T79" s="46"/>
      <c r="U79" s="46"/>
      <c r="V79" s="46"/>
      <c r="W79" s="46"/>
      <c r="AA79" s="1"/>
    </row>
    <row r="80" spans="1:27" ht="15.75" thickTop="1" x14ac:dyDescent="0.2">
      <c r="A80" s="8"/>
      <c r="B80" s="21" t="s">
        <v>496</v>
      </c>
      <c r="C80" s="17"/>
      <c r="D80" s="1"/>
      <c r="E80" s="8"/>
      <c r="F80" s="8"/>
      <c r="G80" s="13"/>
      <c r="I80" s="8"/>
      <c r="J80" s="8"/>
      <c r="K80" s="8"/>
      <c r="L80" s="1"/>
      <c r="N80" s="46"/>
      <c r="O80" s="46"/>
      <c r="P80" s="121" t="e">
        <f>AVERAGE(P72:P79)</f>
        <v>#DIV/0!</v>
      </c>
      <c r="Q80" s="46"/>
      <c r="R80" s="46"/>
      <c r="S80" s="46"/>
      <c r="T80" s="46"/>
      <c r="U80" s="46"/>
      <c r="V80" s="46"/>
      <c r="W80" s="46"/>
      <c r="AA80" s="1"/>
    </row>
    <row r="81" spans="1:27" ht="25.5" x14ac:dyDescent="0.2">
      <c r="A81" s="13">
        <v>37</v>
      </c>
      <c r="B81" s="39" t="s">
        <v>497</v>
      </c>
      <c r="C81" s="17" t="str">
        <f>'Para-responder'!C104</f>
        <v>SI</v>
      </c>
      <c r="D81" s="1" t="str">
        <f>IF(C81="SI",AA81," ")</f>
        <v>Regulaciones institucionales para la atención de quejas y denuncias.</v>
      </c>
      <c r="E81" s="8"/>
      <c r="F81" s="8"/>
      <c r="G81" s="13"/>
      <c r="I81" s="8"/>
      <c r="J81" s="8"/>
      <c r="K81" s="8"/>
      <c r="L81" s="1"/>
      <c r="N81" s="46"/>
      <c r="O81" s="46"/>
      <c r="P81" s="46"/>
      <c r="Q81" s="46"/>
      <c r="R81" s="46"/>
      <c r="S81" s="46"/>
      <c r="T81" s="46"/>
      <c r="U81" s="46"/>
      <c r="V81" s="46"/>
      <c r="W81" s="46"/>
      <c r="AA81" s="32" t="s">
        <v>498</v>
      </c>
    </row>
    <row r="82" spans="1:27" ht="25.5" x14ac:dyDescent="0.2">
      <c r="A82" s="13">
        <v>38</v>
      </c>
      <c r="B82" s="39" t="s">
        <v>499</v>
      </c>
      <c r="C82" s="17" t="str">
        <f>'Para-responder'!C105</f>
        <v>SI</v>
      </c>
      <c r="D82" s="1" t="str">
        <f>IF(C82="SI",AA82," ")</f>
        <v>Regulaciones institucionales sobre plazos para atención de gestiones</v>
      </c>
      <c r="E82" s="8"/>
      <c r="F82" s="8"/>
      <c r="G82" s="13"/>
      <c r="I82" s="8"/>
      <c r="J82" s="8"/>
      <c r="K82" s="8"/>
      <c r="L82" s="1"/>
      <c r="N82" s="46"/>
      <c r="O82" s="46"/>
      <c r="P82" s="46"/>
      <c r="Q82" s="46"/>
      <c r="R82" s="46"/>
      <c r="S82" s="46"/>
      <c r="T82" s="46"/>
      <c r="U82" s="46"/>
      <c r="V82" s="46"/>
      <c r="W82" s="46"/>
      <c r="AA82" s="26" t="s">
        <v>500</v>
      </c>
    </row>
    <row r="83" spans="1:27" ht="25.5" x14ac:dyDescent="0.2">
      <c r="A83" s="13">
        <v>39</v>
      </c>
      <c r="B83" s="39" t="s">
        <v>501</v>
      </c>
      <c r="C83" s="17" t="str">
        <f>'Para-responder'!C106</f>
        <v>SI</v>
      </c>
      <c r="D83" s="1" t="str">
        <f>IF(C83="SI",AA83," ")</f>
        <v>Documento que dispone la creación de la contraloría de servicios o determina sus funciones</v>
      </c>
      <c r="E83" s="8"/>
      <c r="F83" s="8"/>
      <c r="G83" s="13"/>
      <c r="I83" s="8"/>
      <c r="J83" s="8"/>
      <c r="K83" s="8"/>
      <c r="L83" s="1"/>
      <c r="N83" s="46"/>
      <c r="O83" s="47"/>
      <c r="P83" s="48"/>
      <c r="Q83" s="46"/>
      <c r="R83" s="46"/>
      <c r="S83" s="46"/>
      <c r="T83" s="46"/>
      <c r="U83" s="46"/>
      <c r="V83" s="46"/>
      <c r="W83" s="46"/>
      <c r="AA83" s="26" t="s">
        <v>502</v>
      </c>
    </row>
    <row r="84" spans="1:27" x14ac:dyDescent="0.2">
      <c r="A84" s="13">
        <v>40</v>
      </c>
      <c r="B84" s="39" t="s">
        <v>118</v>
      </c>
      <c r="C84" s="17" t="str">
        <f>'Para-responder'!C107</f>
        <v>SI</v>
      </c>
      <c r="D84" s="1" t="str">
        <f>IF(C84="SI",AA84," ")</f>
        <v>Instrumento utilizado para medir la gestión de la Contraloría de Servicios.</v>
      </c>
      <c r="E84" s="26"/>
      <c r="F84" s="8"/>
      <c r="G84" s="13"/>
      <c r="H84" s="8"/>
      <c r="I84" s="8"/>
      <c r="J84" s="8"/>
      <c r="K84" s="8"/>
      <c r="L84" s="1"/>
      <c r="N84" s="46"/>
      <c r="O84" s="47"/>
      <c r="P84" s="48"/>
      <c r="Q84" s="46"/>
      <c r="R84" s="46"/>
      <c r="S84" s="46"/>
      <c r="T84" s="46"/>
      <c r="U84" s="46"/>
      <c r="V84" s="46"/>
      <c r="W84" s="46"/>
      <c r="AA84" s="26" t="s">
        <v>504</v>
      </c>
    </row>
    <row r="85" spans="1:27" x14ac:dyDescent="0.2">
      <c r="A85" s="13"/>
      <c r="B85" s="28"/>
      <c r="C85" s="17"/>
      <c r="D85" s="1"/>
      <c r="E85" s="8"/>
      <c r="F85" s="8"/>
      <c r="G85" s="13"/>
      <c r="H85" s="8"/>
      <c r="I85" s="8"/>
      <c r="J85" s="8"/>
      <c r="K85" s="8"/>
      <c r="L85" s="1"/>
      <c r="AA85" s="1"/>
    </row>
    <row r="86" spans="1:27" x14ac:dyDescent="0.2">
      <c r="A86" s="8"/>
      <c r="B86" s="21" t="s">
        <v>14</v>
      </c>
      <c r="C86" s="17"/>
      <c r="D86" s="1"/>
      <c r="E86" s="8"/>
      <c r="F86" s="8"/>
      <c r="G86" s="13"/>
      <c r="H86" s="8"/>
      <c r="I86" s="8"/>
      <c r="J86" s="8"/>
      <c r="K86" s="8"/>
      <c r="L86" s="1"/>
      <c r="AA86" s="26"/>
    </row>
    <row r="87" spans="1:27" x14ac:dyDescent="0.2">
      <c r="A87" s="13"/>
      <c r="B87" s="51"/>
      <c r="C87" s="25"/>
      <c r="D87" s="19"/>
      <c r="E87" s="8"/>
      <c r="F87" s="8"/>
      <c r="G87" s="13"/>
      <c r="H87" s="8"/>
      <c r="I87" s="8"/>
      <c r="J87" s="8"/>
      <c r="K87" s="8"/>
      <c r="L87" s="1"/>
      <c r="AA87" s="52" t="s">
        <v>119</v>
      </c>
    </row>
    <row r="88" spans="1:27" x14ac:dyDescent="0.2">
      <c r="A88" s="13">
        <v>42</v>
      </c>
      <c r="B88" s="51" t="s">
        <v>15</v>
      </c>
      <c r="C88" s="25" t="str">
        <f>'Para-responder'!C126</f>
        <v>SI</v>
      </c>
      <c r="D88" s="1" t="str">
        <f>IF(C88="SI",AA88," ")</f>
        <v>Mostrar procedimientos</v>
      </c>
      <c r="E88" s="8"/>
      <c r="F88" s="8"/>
      <c r="G88" s="13"/>
      <c r="H88" s="8"/>
      <c r="I88" s="8"/>
      <c r="J88" s="8"/>
      <c r="K88" s="8"/>
      <c r="L88" s="1"/>
      <c r="AA88" s="52" t="s">
        <v>120</v>
      </c>
    </row>
    <row r="89" spans="1:27" x14ac:dyDescent="0.2">
      <c r="A89" s="13">
        <v>43</v>
      </c>
      <c r="B89" s="51" t="s">
        <v>17</v>
      </c>
      <c r="C89" s="25" t="str">
        <f>'Para-responder'!C127</f>
        <v>NO</v>
      </c>
      <c r="D89" s="1" t="str">
        <f>IF(C89="SI",AA89," ")</f>
        <v xml:space="preserve"> </v>
      </c>
      <c r="E89" s="8"/>
      <c r="F89" s="8"/>
      <c r="G89" s="13"/>
      <c r="H89" s="8"/>
      <c r="I89" s="8"/>
      <c r="J89" s="8"/>
      <c r="K89" s="8"/>
      <c r="L89" s="1"/>
      <c r="AA89" s="52" t="s">
        <v>18</v>
      </c>
    </row>
    <row r="90" spans="1:27" ht="38.25" x14ac:dyDescent="0.2">
      <c r="A90" s="13">
        <v>44</v>
      </c>
      <c r="B90" s="53" t="s">
        <v>19</v>
      </c>
      <c r="C90" s="25" t="str">
        <f>'Para-responder'!C128</f>
        <v>SI</v>
      </c>
      <c r="D90" s="1" t="str">
        <f>IF(C90="SI",AA90," ")</f>
        <v>Normativa interna para el reclutamiento, la selección y promoción del personal</v>
      </c>
      <c r="E90" s="8"/>
      <c r="F90" s="8"/>
      <c r="G90" s="13"/>
      <c r="H90" s="8"/>
      <c r="I90" s="8"/>
      <c r="J90" s="8"/>
      <c r="K90" s="8"/>
      <c r="L90" s="1"/>
      <c r="AA90" s="52" t="s">
        <v>20</v>
      </c>
    </row>
    <row r="91" spans="1:27" x14ac:dyDescent="0.2">
      <c r="A91" s="8"/>
      <c r="B91" s="53"/>
      <c r="C91" s="17"/>
      <c r="D91" s="1"/>
      <c r="E91" s="8"/>
      <c r="F91" s="8"/>
      <c r="G91" s="13"/>
      <c r="H91" s="8"/>
      <c r="I91" s="8"/>
      <c r="J91" s="8"/>
      <c r="K91" s="8"/>
      <c r="L91" s="1"/>
      <c r="AA91" s="1"/>
    </row>
    <row r="92" spans="1:27" x14ac:dyDescent="0.2">
      <c r="A92" s="68"/>
      <c r="B92" s="68" t="s">
        <v>121</v>
      </c>
      <c r="C92" s="68"/>
      <c r="D92" s="1"/>
      <c r="E92" s="8"/>
      <c r="F92" s="8"/>
      <c r="G92" s="13"/>
      <c r="H92" s="8"/>
      <c r="I92" s="8"/>
      <c r="J92" s="8"/>
      <c r="K92" s="8"/>
      <c r="L92" s="1"/>
      <c r="AA92" s="1"/>
    </row>
    <row r="93" spans="1:27" ht="15" customHeight="1" x14ac:dyDescent="0.2">
      <c r="A93" s="8"/>
      <c r="B93" s="8"/>
      <c r="C93" s="17"/>
      <c r="D93" s="1"/>
      <c r="E93" s="8"/>
      <c r="F93" s="8"/>
      <c r="G93" s="13"/>
      <c r="H93" s="8"/>
      <c r="I93" s="8"/>
      <c r="J93" s="8"/>
      <c r="K93" s="8"/>
      <c r="L93" s="1"/>
      <c r="AA93" s="1"/>
    </row>
    <row r="94" spans="1:27" x14ac:dyDescent="0.2">
      <c r="A94" s="8"/>
      <c r="B94" s="21" t="s">
        <v>315</v>
      </c>
      <c r="C94" s="17"/>
      <c r="D94" s="1"/>
      <c r="E94" s="8"/>
      <c r="F94" s="8"/>
      <c r="G94" s="13"/>
      <c r="H94" s="8"/>
      <c r="I94" s="8"/>
      <c r="J94" s="8"/>
      <c r="K94" s="8"/>
      <c r="L94" s="1"/>
      <c r="AA94" s="1"/>
    </row>
    <row r="95" spans="1:27" ht="25.5" x14ac:dyDescent="0.2">
      <c r="A95" s="13">
        <v>45</v>
      </c>
      <c r="B95" s="28" t="s">
        <v>328</v>
      </c>
      <c r="C95" s="17" t="str">
        <f>'Para-responder'!C15</f>
        <v>SI</v>
      </c>
      <c r="D95" s="1" t="str">
        <f>IF(C95="SI",AA95," ")</f>
        <v>Memorado o comunicados respectivos</v>
      </c>
      <c r="E95" s="8"/>
      <c r="F95" s="8"/>
      <c r="G95" s="13"/>
      <c r="H95" s="8"/>
      <c r="I95" s="8"/>
      <c r="J95" s="8"/>
      <c r="K95" s="8"/>
      <c r="L95" s="1"/>
      <c r="AA95" s="26" t="s">
        <v>329</v>
      </c>
    </row>
    <row r="96" spans="1:27" ht="25.5" x14ac:dyDescent="0.2">
      <c r="A96" s="13">
        <v>46</v>
      </c>
      <c r="B96" s="28" t="s">
        <v>330</v>
      </c>
      <c r="C96" s="17" t="str">
        <f>'Para-responder'!C16</f>
        <v>SI</v>
      </c>
      <c r="D96" s="1" t="str">
        <f>IF(C96="SI",AA96," ")</f>
        <v>Comprobante de capacitación o de asistencia a la misma</v>
      </c>
      <c r="E96" s="8"/>
      <c r="F96" s="8"/>
      <c r="G96" s="13"/>
      <c r="H96" s="8"/>
      <c r="I96" s="8"/>
      <c r="J96" s="8"/>
      <c r="K96" s="8"/>
      <c r="L96" s="1"/>
      <c r="AA96" s="26" t="s">
        <v>331</v>
      </c>
    </row>
    <row r="97" spans="1:27" x14ac:dyDescent="0.2">
      <c r="A97" s="13"/>
      <c r="B97" s="28"/>
      <c r="C97" s="17"/>
      <c r="D97" s="1"/>
      <c r="E97" s="8"/>
      <c r="F97" s="8"/>
      <c r="G97" s="13"/>
      <c r="H97" s="8"/>
      <c r="I97" s="8"/>
      <c r="J97" s="8"/>
      <c r="K97" s="8"/>
      <c r="L97" s="1"/>
      <c r="AA97" s="26"/>
    </row>
    <row r="98" spans="1:27" x14ac:dyDescent="0.2">
      <c r="A98" s="8"/>
      <c r="B98" s="21" t="s">
        <v>122</v>
      </c>
      <c r="C98" s="17"/>
      <c r="D98" s="1"/>
      <c r="E98" s="8"/>
      <c r="F98" s="8"/>
      <c r="G98" s="13"/>
      <c r="H98" s="8"/>
      <c r="I98" s="8"/>
      <c r="J98" s="8"/>
      <c r="K98" s="8"/>
      <c r="L98" s="1"/>
      <c r="AA98" s="1"/>
    </row>
    <row r="99" spans="1:27" ht="25.5" x14ac:dyDescent="0.2">
      <c r="A99" s="13">
        <v>47</v>
      </c>
      <c r="B99" s="28" t="s">
        <v>123</v>
      </c>
      <c r="C99" s="17" t="str">
        <f>'Para-responder'!C28</f>
        <v>NO APLICA</v>
      </c>
      <c r="D99" s="1" t="str">
        <f>IF(C99="SI",AA99," ")</f>
        <v xml:space="preserve"> </v>
      </c>
      <c r="E99" s="8"/>
      <c r="F99" s="8"/>
      <c r="G99" s="13"/>
      <c r="H99" s="8"/>
      <c r="I99" s="8"/>
      <c r="J99" s="8"/>
      <c r="K99" s="8"/>
      <c r="L99" s="1"/>
      <c r="AA99" s="26" t="s">
        <v>331</v>
      </c>
    </row>
    <row r="100" spans="1:27" x14ac:dyDescent="0.2">
      <c r="A100" s="13">
        <v>48</v>
      </c>
      <c r="B100" s="36" t="s">
        <v>370</v>
      </c>
      <c r="C100" s="17" t="str">
        <f>'Para-responder'!C29</f>
        <v>NO APLICA</v>
      </c>
      <c r="D100" s="1" t="str">
        <f>IF(C100="SI",AA100," ")</f>
        <v xml:space="preserve"> </v>
      </c>
      <c r="E100" s="8"/>
      <c r="F100" s="8"/>
      <c r="G100" s="13"/>
      <c r="H100" s="8"/>
      <c r="I100" s="8"/>
      <c r="J100" s="8"/>
      <c r="K100" s="8"/>
      <c r="L100" s="1"/>
      <c r="AA100" s="26" t="s">
        <v>371</v>
      </c>
    </row>
    <row r="101" spans="1:27" ht="25.5" x14ac:dyDescent="0.2">
      <c r="A101" s="13">
        <v>49</v>
      </c>
      <c r="B101" s="36" t="s">
        <v>372</v>
      </c>
      <c r="C101" s="17" t="str">
        <f>'Para-responder'!C30</f>
        <v>NO APLICA</v>
      </c>
      <c r="D101" s="1" t="str">
        <f>IF(C101="SI",AA101," ")</f>
        <v xml:space="preserve"> </v>
      </c>
      <c r="E101" s="8"/>
      <c r="F101" s="8"/>
      <c r="G101" s="13"/>
      <c r="H101" s="8"/>
      <c r="I101" s="8"/>
      <c r="J101" s="8"/>
      <c r="K101" s="8"/>
      <c r="L101" s="1"/>
      <c r="AA101" s="26" t="s">
        <v>373</v>
      </c>
    </row>
    <row r="102" spans="1:27" ht="24" customHeight="1" x14ac:dyDescent="0.2">
      <c r="A102" s="13">
        <v>50</v>
      </c>
      <c r="B102" s="36" t="s">
        <v>375</v>
      </c>
      <c r="C102" s="17" t="str">
        <f>'Para-responder'!C31</f>
        <v>NO APLICA</v>
      </c>
      <c r="D102" s="1" t="str">
        <f>IF(C102="SI",AA102," ")</f>
        <v xml:space="preserve"> </v>
      </c>
      <c r="E102" s="8"/>
      <c r="F102" s="8"/>
      <c r="G102" s="13"/>
      <c r="H102" s="8"/>
      <c r="I102" s="8"/>
      <c r="J102" s="8"/>
      <c r="K102" s="8"/>
      <c r="L102" s="1"/>
      <c r="AA102" s="26" t="s">
        <v>376</v>
      </c>
    </row>
    <row r="103" spans="1:27" x14ac:dyDescent="0.2">
      <c r="A103" s="8"/>
      <c r="B103" s="28"/>
      <c r="C103" s="17"/>
      <c r="D103" s="1"/>
      <c r="E103" s="8"/>
      <c r="F103" s="8"/>
      <c r="G103" s="13"/>
      <c r="H103" s="8"/>
      <c r="I103" s="8"/>
      <c r="J103" s="8"/>
      <c r="K103" s="8"/>
      <c r="L103" s="1"/>
      <c r="AA103" s="1"/>
    </row>
    <row r="104" spans="1:27" x14ac:dyDescent="0.2">
      <c r="A104" s="8"/>
      <c r="B104" s="21" t="s">
        <v>377</v>
      </c>
      <c r="C104" s="17"/>
      <c r="D104" s="1"/>
      <c r="E104" s="8"/>
      <c r="F104" s="8"/>
      <c r="G104" s="13"/>
      <c r="H104" s="8"/>
      <c r="I104" s="8"/>
      <c r="J104" s="8"/>
      <c r="K104" s="8"/>
      <c r="L104" s="1"/>
      <c r="AA104" s="1"/>
    </row>
    <row r="105" spans="1:27" x14ac:dyDescent="0.2">
      <c r="A105" s="8"/>
      <c r="B105" s="183" t="s">
        <v>378</v>
      </c>
      <c r="C105" s="38"/>
      <c r="D105" s="1"/>
      <c r="E105" s="8"/>
      <c r="F105" s="8"/>
      <c r="G105" s="13"/>
      <c r="H105" s="8"/>
      <c r="I105" s="8"/>
      <c r="J105" s="8"/>
      <c r="K105" s="8"/>
      <c r="L105" s="1"/>
      <c r="AA105" s="1"/>
    </row>
    <row r="106" spans="1:27" ht="38.25" x14ac:dyDescent="0.2">
      <c r="A106" s="13">
        <v>51</v>
      </c>
      <c r="B106" s="36" t="s">
        <v>391</v>
      </c>
      <c r="C106" s="17" t="str">
        <f>'Para-responder'!C41</f>
        <v>NO</v>
      </c>
      <c r="D106" s="1" t="str">
        <f>IF(C106="SI",AA106," ")</f>
        <v xml:space="preserve"> </v>
      </c>
      <c r="E106" s="8"/>
      <c r="F106" s="8"/>
      <c r="G106" s="13"/>
      <c r="H106" s="8"/>
      <c r="I106" s="8"/>
      <c r="J106" s="8"/>
      <c r="K106" s="8"/>
      <c r="L106" s="1"/>
      <c r="AA106" s="26" t="s">
        <v>393</v>
      </c>
    </row>
    <row r="107" spans="1:27" x14ac:dyDescent="0.2">
      <c r="A107" s="13">
        <v>52</v>
      </c>
      <c r="B107" s="36" t="s">
        <v>394</v>
      </c>
      <c r="C107" s="17" t="str">
        <f>'Para-responder'!C42</f>
        <v>SI</v>
      </c>
      <c r="D107" s="1" t="str">
        <f>IF(C107="SI",AA107," ")</f>
        <v>Registros oficiales del porcentaje del personal evaluado en el año anterior</v>
      </c>
      <c r="E107" s="8"/>
      <c r="F107" s="8"/>
      <c r="G107" s="13"/>
      <c r="H107" s="8"/>
      <c r="I107" s="8"/>
      <c r="J107" s="8"/>
      <c r="K107" s="8"/>
      <c r="L107" s="1"/>
      <c r="AA107" s="26" t="s">
        <v>395</v>
      </c>
    </row>
    <row r="108" spans="1:27" x14ac:dyDescent="0.2">
      <c r="A108" s="13"/>
      <c r="B108" s="184" t="s">
        <v>396</v>
      </c>
      <c r="C108" s="38"/>
      <c r="D108" s="1"/>
      <c r="E108" s="8"/>
      <c r="F108" s="8"/>
      <c r="G108" s="13"/>
      <c r="H108" s="8"/>
      <c r="I108" s="8"/>
      <c r="J108" s="8"/>
      <c r="K108" s="8"/>
      <c r="L108" s="1"/>
      <c r="AA108" s="1"/>
    </row>
    <row r="109" spans="1:27" ht="38.25" x14ac:dyDescent="0.2">
      <c r="A109" s="13">
        <v>53</v>
      </c>
      <c r="B109" s="42" t="s">
        <v>401</v>
      </c>
      <c r="C109" s="17" t="str">
        <f>'Para-responder'!C46</f>
        <v>NO</v>
      </c>
      <c r="D109" s="1" t="str">
        <f>IF(C109="SI",AA109," ")</f>
        <v xml:space="preserve"> </v>
      </c>
      <c r="E109" s="8"/>
      <c r="F109" s="8"/>
      <c r="G109" s="13"/>
      <c r="H109" s="8"/>
      <c r="I109" s="8"/>
      <c r="J109" s="8"/>
      <c r="K109" s="8"/>
      <c r="L109" s="1"/>
      <c r="AA109" s="26" t="s">
        <v>402</v>
      </c>
    </row>
    <row r="110" spans="1:27" x14ac:dyDescent="0.2">
      <c r="A110" s="13"/>
      <c r="B110" s="184" t="s">
        <v>412</v>
      </c>
      <c r="C110" s="38"/>
      <c r="D110" s="1"/>
      <c r="E110" s="8"/>
      <c r="F110" s="8"/>
      <c r="G110" s="13"/>
      <c r="H110" s="8"/>
      <c r="I110" s="8"/>
      <c r="J110" s="8"/>
      <c r="K110" s="8"/>
      <c r="L110" s="1"/>
      <c r="AA110" s="1"/>
    </row>
    <row r="111" spans="1:27" ht="38.25" x14ac:dyDescent="0.2">
      <c r="A111" s="13">
        <v>54</v>
      </c>
      <c r="B111" s="36" t="s">
        <v>415</v>
      </c>
      <c r="C111" s="17" t="str">
        <f>'Para-responder'!C54</f>
        <v>SI</v>
      </c>
      <c r="D111" s="1" t="str">
        <f>IF(C111="SI",AA111," ")</f>
        <v>Acuerdo de designación u otra documentación probatoria</v>
      </c>
      <c r="E111" s="8"/>
      <c r="F111" s="8"/>
      <c r="G111" s="13"/>
      <c r="H111" s="8"/>
      <c r="I111" s="8"/>
      <c r="J111" s="8"/>
      <c r="K111" s="8"/>
      <c r="L111" s="1"/>
      <c r="AA111" s="26" t="s">
        <v>416</v>
      </c>
    </row>
    <row r="112" spans="1:27" ht="25.5" x14ac:dyDescent="0.2">
      <c r="A112" s="13">
        <v>55</v>
      </c>
      <c r="B112" s="36" t="s">
        <v>417</v>
      </c>
      <c r="C112" s="17" t="str">
        <f>'Para-responder'!C55</f>
        <v>SI</v>
      </c>
      <c r="D112" s="1" t="str">
        <f>IF(C112="SI",AA112," ")</f>
        <v>Políticas de control de información u otra normativa atinente</v>
      </c>
      <c r="E112" s="37"/>
      <c r="F112" s="8"/>
      <c r="G112" s="13"/>
      <c r="H112" s="8"/>
      <c r="I112" s="8"/>
      <c r="J112" s="8"/>
      <c r="K112" s="8"/>
      <c r="L112" s="1"/>
      <c r="AA112" s="26" t="s">
        <v>418</v>
      </c>
    </row>
    <row r="113" spans="1:34" x14ac:dyDescent="0.2">
      <c r="A113" s="13"/>
      <c r="B113" s="184" t="s">
        <v>419</v>
      </c>
      <c r="C113" s="38"/>
      <c r="D113" s="1"/>
      <c r="E113" s="8"/>
      <c r="F113" s="8"/>
      <c r="G113" s="13"/>
      <c r="H113" s="8"/>
      <c r="I113" s="8"/>
      <c r="J113" s="8"/>
      <c r="K113" s="8"/>
      <c r="L113" s="1"/>
      <c r="AA113" s="43"/>
    </row>
    <row r="114" spans="1:34" ht="25.5" x14ac:dyDescent="0.2">
      <c r="A114" s="13">
        <v>56</v>
      </c>
      <c r="B114" s="36" t="s">
        <v>420</v>
      </c>
      <c r="C114" s="17" t="str">
        <f>'Para-responder'!C57</f>
        <v>NO</v>
      </c>
      <c r="D114" s="1" t="str">
        <f>IF(C114="SI",AA114," ")</f>
        <v xml:space="preserve"> </v>
      </c>
      <c r="E114" s="8"/>
      <c r="F114" s="8"/>
      <c r="G114" s="13"/>
      <c r="H114" s="8"/>
      <c r="I114" s="8"/>
      <c r="J114" s="8"/>
      <c r="K114" s="8"/>
      <c r="L114" s="1"/>
      <c r="AA114" s="26" t="s">
        <v>421</v>
      </c>
    </row>
    <row r="115" spans="1:34" ht="25.5" x14ac:dyDescent="0.2">
      <c r="A115" s="13">
        <v>57</v>
      </c>
      <c r="B115" s="36" t="s">
        <v>124</v>
      </c>
      <c r="C115" s="17" t="str">
        <f>'Para-responder'!C58</f>
        <v>NO APLICA</v>
      </c>
      <c r="D115" s="1" t="str">
        <f>IF(C115="SI",AA115," ")</f>
        <v xml:space="preserve"> </v>
      </c>
      <c r="E115" s="8"/>
      <c r="F115" s="8"/>
      <c r="G115" s="13"/>
      <c r="H115" s="8"/>
      <c r="I115" s="8"/>
      <c r="J115" s="8"/>
      <c r="K115" s="8"/>
      <c r="L115" s="1"/>
      <c r="AA115" s="26" t="s">
        <v>423</v>
      </c>
    </row>
    <row r="116" spans="1:34" ht="25.5" x14ac:dyDescent="0.2">
      <c r="A116" s="13">
        <v>58</v>
      </c>
      <c r="B116" s="36" t="s">
        <v>424</v>
      </c>
      <c r="C116" s="17" t="str">
        <f>'Para-responder'!C59</f>
        <v>SI</v>
      </c>
      <c r="D116" s="1" t="str">
        <f>IF(C116="SI",AA116," ")</f>
        <v>Informe del estado de las disposiciones</v>
      </c>
      <c r="E116" s="8"/>
      <c r="F116" s="8"/>
      <c r="G116" s="13"/>
      <c r="H116" s="8"/>
      <c r="I116" s="8"/>
      <c r="J116" s="8"/>
      <c r="K116" s="8"/>
      <c r="L116" s="1"/>
      <c r="AA116" s="26" t="s">
        <v>425</v>
      </c>
    </row>
    <row r="117" spans="1:34" x14ac:dyDescent="0.2">
      <c r="A117" s="8"/>
      <c r="B117" s="8"/>
      <c r="C117" s="17"/>
      <c r="D117" s="1"/>
      <c r="E117" s="8"/>
      <c r="F117" s="8"/>
      <c r="G117" s="13"/>
      <c r="H117" s="8"/>
      <c r="I117" s="8"/>
      <c r="J117" s="8"/>
      <c r="K117" s="8"/>
      <c r="L117" s="1"/>
      <c r="AA117" s="1"/>
    </row>
    <row r="118" spans="1:34" x14ac:dyDescent="0.2">
      <c r="A118" s="8"/>
      <c r="B118" s="21" t="s">
        <v>426</v>
      </c>
      <c r="C118" s="17"/>
      <c r="D118" s="1"/>
      <c r="E118" s="8"/>
      <c r="F118" s="8"/>
      <c r="G118" s="13"/>
      <c r="H118" s="8"/>
      <c r="I118" s="8"/>
      <c r="J118" s="8"/>
      <c r="K118" s="8"/>
      <c r="L118" s="1"/>
      <c r="AA118" s="1"/>
    </row>
    <row r="119" spans="1:34" ht="25.5" x14ac:dyDescent="0.2">
      <c r="A119" s="13">
        <v>59</v>
      </c>
      <c r="B119" s="36" t="s">
        <v>444</v>
      </c>
      <c r="C119" s="17" t="str">
        <f>'Para-responder'!C71</f>
        <v>SI</v>
      </c>
      <c r="D119" s="1" t="str">
        <f>IF(C119="SI",AA119," ")</f>
        <v>Plan de adquisiciones del año 2010</v>
      </c>
      <c r="E119" s="8"/>
      <c r="F119" s="8"/>
      <c r="G119" s="13"/>
      <c r="H119" s="8"/>
      <c r="I119" s="8"/>
      <c r="J119" s="8"/>
      <c r="K119" s="8"/>
      <c r="L119" s="1"/>
      <c r="AA119" s="26" t="s">
        <v>445</v>
      </c>
    </row>
    <row r="120" spans="1:34" x14ac:dyDescent="0.2">
      <c r="A120" s="13">
        <v>60</v>
      </c>
      <c r="B120" s="36" t="s">
        <v>446</v>
      </c>
      <c r="C120" s="17" t="str">
        <f>'Para-responder'!C72</f>
        <v>NO APLICA</v>
      </c>
      <c r="D120" s="1" t="str">
        <f>IF(C120="SI",AA120," ")</f>
        <v xml:space="preserve"> </v>
      </c>
      <c r="E120" s="8"/>
      <c r="F120" s="8"/>
      <c r="G120" s="13"/>
      <c r="H120" s="8"/>
      <c r="I120" s="8"/>
      <c r="J120" s="8"/>
      <c r="K120" s="8"/>
      <c r="L120" s="1"/>
      <c r="AA120" s="26" t="s">
        <v>447</v>
      </c>
    </row>
    <row r="121" spans="1:34" ht="25.5" x14ac:dyDescent="0.2">
      <c r="A121" s="13">
        <v>61</v>
      </c>
      <c r="B121" s="36" t="s">
        <v>448</v>
      </c>
      <c r="C121" s="17" t="str">
        <f>'Para-responder'!C73</f>
        <v>SI</v>
      </c>
      <c r="D121" s="1" t="str">
        <f>IF(C121="SI",AA121," ")</f>
        <v>Verificación en los sistemas de la CGR</v>
      </c>
      <c r="E121" s="122"/>
      <c r="F121" s="8"/>
      <c r="G121" s="13"/>
      <c r="H121" s="8"/>
      <c r="I121" s="8"/>
      <c r="J121" s="8"/>
      <c r="K121" s="8"/>
      <c r="L121" s="1"/>
      <c r="AA121" s="26" t="s">
        <v>449</v>
      </c>
    </row>
    <row r="122" spans="1:34" x14ac:dyDescent="0.2">
      <c r="A122" s="28"/>
      <c r="B122" s="28"/>
      <c r="C122" s="25"/>
      <c r="D122" s="19"/>
      <c r="E122" s="123"/>
      <c r="F122" s="28"/>
      <c r="G122" s="13"/>
      <c r="H122" s="8"/>
      <c r="I122" s="8"/>
      <c r="J122" s="8"/>
      <c r="K122" s="8"/>
      <c r="L122" s="1"/>
      <c r="AA122" s="19"/>
    </row>
    <row r="123" spans="1:34" x14ac:dyDescent="0.2">
      <c r="A123" s="8"/>
      <c r="B123" s="21" t="s">
        <v>450</v>
      </c>
      <c r="C123" s="17"/>
      <c r="D123" s="1"/>
      <c r="E123" s="1"/>
      <c r="F123" s="8"/>
      <c r="G123" s="13"/>
      <c r="H123" s="8"/>
      <c r="I123" s="8"/>
      <c r="J123" s="8"/>
      <c r="K123" s="8"/>
      <c r="L123" s="1"/>
      <c r="AA123" s="26"/>
    </row>
    <row r="124" spans="1:34" s="30" customFormat="1" ht="25.5" x14ac:dyDescent="0.2">
      <c r="A124" s="13">
        <v>62</v>
      </c>
      <c r="B124" s="36" t="s">
        <v>125</v>
      </c>
      <c r="C124" s="17" t="str">
        <f>'Para-responder'!C81</f>
        <v>SI</v>
      </c>
      <c r="D124" s="1" t="str">
        <f>IF(C124="SI",AA124," ")</f>
        <v>Acuerdo de Junta Directiva donde fue conocida o aprobada, o documento equivalente.</v>
      </c>
      <c r="E124" s="1"/>
      <c r="F124" s="8"/>
      <c r="G124" s="34"/>
      <c r="H124" s="28"/>
      <c r="I124" s="28"/>
      <c r="J124" s="28"/>
      <c r="K124" s="28"/>
      <c r="L124" s="19"/>
      <c r="M124" s="20"/>
      <c r="N124" s="4"/>
      <c r="O124" s="4"/>
      <c r="P124" s="4"/>
      <c r="Q124" s="4"/>
      <c r="R124" s="4"/>
      <c r="S124" s="4"/>
      <c r="T124" s="4"/>
      <c r="U124" s="4"/>
      <c r="V124" s="4"/>
      <c r="W124" s="4"/>
      <c r="X124" s="4"/>
      <c r="Y124" s="20"/>
      <c r="Z124" s="20"/>
      <c r="AA124" s="26" t="s">
        <v>463</v>
      </c>
      <c r="AB124" s="20"/>
      <c r="AC124" s="31"/>
      <c r="AD124" s="31"/>
      <c r="AE124" s="31"/>
      <c r="AF124" s="31"/>
      <c r="AG124" s="31"/>
      <c r="AH124" s="31"/>
    </row>
    <row r="125" spans="1:34" ht="25.5" x14ac:dyDescent="0.2">
      <c r="A125" s="13">
        <v>63</v>
      </c>
      <c r="B125" s="36" t="s">
        <v>464</v>
      </c>
      <c r="C125" s="17" t="str">
        <f>'Para-responder'!C82</f>
        <v>NO APLICA</v>
      </c>
      <c r="D125" s="1" t="str">
        <f>IF(C125="SI",AA125," ")</f>
        <v xml:space="preserve"> </v>
      </c>
      <c r="E125" s="8"/>
      <c r="F125" s="8"/>
      <c r="G125" s="13"/>
      <c r="H125" s="8"/>
      <c r="I125" s="8"/>
      <c r="J125" s="8"/>
      <c r="K125" s="8"/>
      <c r="L125" s="1"/>
      <c r="AA125" s="26" t="s">
        <v>465</v>
      </c>
    </row>
    <row r="126" spans="1:34" x14ac:dyDescent="0.2">
      <c r="A126" s="8"/>
      <c r="B126" s="8"/>
      <c r="C126" s="17"/>
      <c r="D126" s="1"/>
      <c r="E126" s="8"/>
      <c r="F126" s="8"/>
      <c r="G126" s="13"/>
      <c r="H126" s="8"/>
      <c r="I126" s="8"/>
      <c r="J126" s="8"/>
      <c r="K126" s="8"/>
      <c r="L126" s="1"/>
      <c r="X126" s="20"/>
      <c r="AA126" s="1"/>
    </row>
    <row r="127" spans="1:34" x14ac:dyDescent="0.2">
      <c r="A127" s="8"/>
      <c r="B127" s="21" t="s">
        <v>496</v>
      </c>
      <c r="C127" s="17"/>
      <c r="D127" s="1"/>
      <c r="E127" s="8"/>
      <c r="F127" s="8"/>
      <c r="G127" s="13"/>
      <c r="H127" s="8"/>
      <c r="I127" s="8"/>
      <c r="J127" s="8"/>
      <c r="K127" s="8"/>
      <c r="L127" s="1"/>
      <c r="AA127" s="1"/>
    </row>
    <row r="128" spans="1:34" x14ac:dyDescent="0.2">
      <c r="A128" s="13">
        <v>64</v>
      </c>
      <c r="B128" s="36" t="s">
        <v>505</v>
      </c>
      <c r="C128" s="17" t="str">
        <f>'Para-responder'!C108</f>
        <v>SI</v>
      </c>
      <c r="D128" s="1" t="str">
        <f>IF(C128="SI",AA128," ")</f>
        <v>Captura de la página respectiva</v>
      </c>
      <c r="E128" s="8"/>
      <c r="F128" s="8"/>
      <c r="G128" s="8"/>
      <c r="H128" s="8"/>
      <c r="I128" s="8"/>
      <c r="J128" s="8"/>
      <c r="K128" s="8"/>
      <c r="L128" s="1"/>
      <c r="AA128" s="26" t="s">
        <v>492</v>
      </c>
    </row>
    <row r="129" spans="1:27" x14ac:dyDescent="0.2">
      <c r="A129" s="13">
        <v>65</v>
      </c>
      <c r="B129" s="36" t="s">
        <v>507</v>
      </c>
      <c r="C129" s="17"/>
      <c r="D129" s="1"/>
      <c r="E129" s="8"/>
      <c r="F129" s="8"/>
      <c r="G129" s="8"/>
      <c r="H129" s="8"/>
      <c r="I129" s="8"/>
      <c r="J129" s="8"/>
      <c r="K129" s="8"/>
      <c r="L129" s="1"/>
      <c r="AA129" s="26"/>
    </row>
    <row r="130" spans="1:27" ht="25.5" x14ac:dyDescent="0.2">
      <c r="A130" s="8"/>
      <c r="B130" s="50" t="s">
        <v>508</v>
      </c>
      <c r="C130" s="17" t="str">
        <f>'Para-responder'!C110</f>
        <v>SI</v>
      </c>
      <c r="D130" s="1" t="str">
        <f t="shared" ref="D130:D140" si="5">IF(C130="SI",AA130," ")</f>
        <v>Captura de la página respectiva</v>
      </c>
      <c r="E130" s="8"/>
      <c r="F130" s="8"/>
      <c r="G130" s="8"/>
      <c r="H130" s="8"/>
      <c r="I130" s="8"/>
      <c r="J130" s="8"/>
      <c r="K130" s="8"/>
      <c r="L130" s="1"/>
      <c r="AA130" s="26" t="s">
        <v>492</v>
      </c>
    </row>
    <row r="131" spans="1:27" x14ac:dyDescent="0.2">
      <c r="A131" s="8"/>
      <c r="B131" s="50" t="s">
        <v>509</v>
      </c>
      <c r="C131" s="17" t="str">
        <f>'Para-responder'!C111</f>
        <v>SI</v>
      </c>
      <c r="D131" s="1" t="str">
        <f t="shared" si="5"/>
        <v>Captura de la página respectiva</v>
      </c>
      <c r="E131" s="8"/>
      <c r="F131" s="8"/>
      <c r="G131" s="8"/>
      <c r="H131" s="8"/>
      <c r="I131" s="8"/>
      <c r="J131" s="8"/>
      <c r="K131" s="8"/>
      <c r="L131" s="1"/>
      <c r="AA131" s="26" t="s">
        <v>492</v>
      </c>
    </row>
    <row r="132" spans="1:27" x14ac:dyDescent="0.2">
      <c r="A132" s="8"/>
      <c r="B132" s="50" t="s">
        <v>510</v>
      </c>
      <c r="C132" s="17" t="str">
        <f>'Para-responder'!C112</f>
        <v>SI</v>
      </c>
      <c r="D132" s="1" t="str">
        <f t="shared" si="5"/>
        <v>Captura de la página respectiva</v>
      </c>
      <c r="E132" s="8"/>
      <c r="F132" s="8"/>
      <c r="G132" s="13"/>
      <c r="H132" s="8"/>
      <c r="I132" s="8"/>
      <c r="J132" s="8"/>
      <c r="K132" s="8"/>
      <c r="L132" s="1"/>
      <c r="AA132" s="26" t="s">
        <v>492</v>
      </c>
    </row>
    <row r="133" spans="1:27" x14ac:dyDescent="0.2">
      <c r="A133" s="8"/>
      <c r="B133" s="50" t="s">
        <v>511</v>
      </c>
      <c r="C133" s="17" t="str">
        <f>'Para-responder'!C113</f>
        <v>NO APLICA</v>
      </c>
      <c r="D133" s="1" t="str">
        <f t="shared" si="5"/>
        <v xml:space="preserve"> </v>
      </c>
      <c r="E133" s="8"/>
      <c r="F133" s="8"/>
      <c r="G133" s="13"/>
      <c r="H133" s="8"/>
      <c r="I133" s="8"/>
      <c r="J133" s="8"/>
      <c r="K133" s="8"/>
      <c r="L133" s="1"/>
      <c r="O133" s="20"/>
      <c r="P133" s="20"/>
      <c r="AA133" s="26" t="s">
        <v>492</v>
      </c>
    </row>
    <row r="134" spans="1:27" ht="25.5" x14ac:dyDescent="0.2">
      <c r="A134" s="8"/>
      <c r="B134" s="50" t="s">
        <v>2</v>
      </c>
      <c r="C134" s="17" t="str">
        <f>'Para-responder'!C114</f>
        <v>SI</v>
      </c>
      <c r="D134" s="1" t="str">
        <f t="shared" si="5"/>
        <v>Captura de la página respectiva</v>
      </c>
      <c r="E134" s="8"/>
      <c r="F134" s="8"/>
      <c r="G134" s="13"/>
      <c r="H134" s="8"/>
      <c r="I134" s="8"/>
      <c r="J134" s="8"/>
      <c r="K134" s="8"/>
      <c r="L134" s="1"/>
      <c r="AA134" s="26" t="s">
        <v>492</v>
      </c>
    </row>
    <row r="135" spans="1:27" x14ac:dyDescent="0.2">
      <c r="A135" s="8"/>
      <c r="B135" s="50" t="s">
        <v>3</v>
      </c>
      <c r="C135" s="17" t="str">
        <f>'Para-responder'!C115</f>
        <v>SI</v>
      </c>
      <c r="D135" s="1" t="str">
        <f t="shared" si="5"/>
        <v>Captura de la página respectiva</v>
      </c>
      <c r="E135" s="8"/>
      <c r="F135" s="8"/>
      <c r="G135" s="13"/>
      <c r="H135" s="8"/>
      <c r="I135" s="8"/>
      <c r="J135" s="8"/>
      <c r="K135" s="8"/>
      <c r="L135" s="1"/>
      <c r="N135" s="20"/>
      <c r="Q135" s="20"/>
      <c r="R135" s="20"/>
      <c r="S135" s="20"/>
      <c r="T135" s="20"/>
      <c r="U135" s="20"/>
      <c r="V135" s="20"/>
      <c r="W135" s="20"/>
      <c r="AA135" s="26" t="s">
        <v>492</v>
      </c>
    </row>
    <row r="136" spans="1:27" x14ac:dyDescent="0.2">
      <c r="A136" s="8"/>
      <c r="B136" s="50" t="s">
        <v>4</v>
      </c>
      <c r="C136" s="17" t="str">
        <f>'Para-responder'!C116</f>
        <v>SI</v>
      </c>
      <c r="D136" s="1" t="str">
        <f t="shared" si="5"/>
        <v>Captura de la página respectiva</v>
      </c>
      <c r="E136" s="8"/>
      <c r="F136" s="8"/>
      <c r="G136" s="13"/>
      <c r="H136" s="8"/>
      <c r="I136" s="8"/>
      <c r="J136" s="8"/>
      <c r="K136" s="8"/>
      <c r="L136" s="1"/>
      <c r="AA136" s="26" t="s">
        <v>492</v>
      </c>
    </row>
    <row r="137" spans="1:27" ht="25.5" x14ac:dyDescent="0.2">
      <c r="A137" s="8"/>
      <c r="B137" s="50" t="s">
        <v>5</v>
      </c>
      <c r="C137" s="17" t="str">
        <f>'Para-responder'!C117</f>
        <v>SI</v>
      </c>
      <c r="D137" s="1" t="str">
        <f t="shared" si="5"/>
        <v>Captura de la página respectiva</v>
      </c>
      <c r="E137" s="8"/>
      <c r="F137" s="8"/>
      <c r="G137" s="13"/>
      <c r="H137" s="8"/>
      <c r="I137" s="8"/>
      <c r="J137" s="8"/>
      <c r="K137" s="8"/>
      <c r="L137" s="1"/>
      <c r="AA137" s="26" t="s">
        <v>492</v>
      </c>
    </row>
    <row r="138" spans="1:27" ht="25.5" x14ac:dyDescent="0.2">
      <c r="A138" s="8"/>
      <c r="B138" s="50" t="s">
        <v>6</v>
      </c>
      <c r="C138" s="17" t="str">
        <f>'Para-responder'!C118</f>
        <v>SI</v>
      </c>
      <c r="D138" s="1" t="str">
        <f t="shared" si="5"/>
        <v>Captura de la página respectiva</v>
      </c>
      <c r="E138" s="8"/>
      <c r="F138" s="8"/>
      <c r="G138" s="13"/>
      <c r="H138" s="8"/>
      <c r="I138" s="8"/>
      <c r="J138" s="8"/>
      <c r="K138" s="8"/>
      <c r="L138" s="1"/>
      <c r="AA138" s="26" t="s">
        <v>492</v>
      </c>
    </row>
    <row r="139" spans="1:27" x14ac:dyDescent="0.2">
      <c r="A139" s="8"/>
      <c r="B139" s="50" t="s">
        <v>7</v>
      </c>
      <c r="C139" s="17" t="str">
        <f>'Para-responder'!C119</f>
        <v>NO</v>
      </c>
      <c r="D139" s="1" t="str">
        <f t="shared" si="5"/>
        <v xml:space="preserve"> </v>
      </c>
      <c r="E139" s="8"/>
      <c r="F139" s="8"/>
      <c r="G139" s="13"/>
      <c r="H139" s="8"/>
      <c r="I139" s="8"/>
      <c r="J139" s="8"/>
      <c r="K139" s="8"/>
      <c r="L139" s="1"/>
      <c r="AA139" s="26" t="s">
        <v>492</v>
      </c>
    </row>
    <row r="140" spans="1:27" ht="32.25" customHeight="1" x14ac:dyDescent="0.2">
      <c r="A140" s="13">
        <v>66</v>
      </c>
      <c r="B140" s="36" t="s">
        <v>8</v>
      </c>
      <c r="C140" s="17" t="str">
        <f>'Para-responder'!C120</f>
        <v>SI</v>
      </c>
      <c r="D140" s="1" t="str">
        <f t="shared" si="5"/>
        <v>Captura de la página respectiva</v>
      </c>
      <c r="E140" s="8"/>
      <c r="F140" s="8"/>
      <c r="G140" s="13"/>
      <c r="H140" s="8"/>
      <c r="I140" s="8"/>
      <c r="J140" s="8"/>
      <c r="K140" s="8"/>
      <c r="L140" s="1"/>
      <c r="AA140" s="26" t="s">
        <v>492</v>
      </c>
    </row>
    <row r="141" spans="1:27" ht="25.5" x14ac:dyDescent="0.2">
      <c r="A141" s="13">
        <v>67</v>
      </c>
      <c r="B141" s="36" t="s">
        <v>126</v>
      </c>
      <c r="C141" s="17" t="str">
        <f>'Para-responder'!C121</f>
        <v>NO</v>
      </c>
      <c r="D141" s="1" t="str">
        <f>IF(C141="SI",AA141," ")</f>
        <v xml:space="preserve"> </v>
      </c>
      <c r="E141" s="8"/>
      <c r="F141" s="8"/>
      <c r="G141" s="13"/>
      <c r="H141" s="8"/>
      <c r="I141" s="8"/>
      <c r="J141" s="8"/>
      <c r="K141" s="8"/>
      <c r="L141" s="1"/>
      <c r="AA141" s="26" t="s">
        <v>10</v>
      </c>
    </row>
    <row r="142" spans="1:27" ht="25.5" x14ac:dyDescent="0.2">
      <c r="A142" s="13">
        <v>68</v>
      </c>
      <c r="B142" s="36" t="s">
        <v>146</v>
      </c>
      <c r="C142" s="17" t="str">
        <f>'Para-responder'!C122</f>
        <v>SI</v>
      </c>
      <c r="D142" s="1" t="str">
        <f>IF(C142="SI",AA142," ")</f>
        <v>Acuerdos o acciones ejecutadas</v>
      </c>
      <c r="E142" s="8"/>
      <c r="F142" s="8"/>
      <c r="G142" s="13"/>
      <c r="H142" s="8"/>
      <c r="I142" s="8"/>
      <c r="J142" s="8"/>
      <c r="K142" s="8"/>
      <c r="L142" s="1"/>
      <c r="AA142" s="26" t="s">
        <v>12</v>
      </c>
    </row>
    <row r="143" spans="1:27" x14ac:dyDescent="0.2">
      <c r="A143" s="13">
        <v>69</v>
      </c>
      <c r="B143" s="36" t="s">
        <v>147</v>
      </c>
      <c r="C143" s="17" t="str">
        <f>'Para-responder'!C123</f>
        <v>SI</v>
      </c>
      <c r="D143" s="1" t="str">
        <f>IF(C143="SI",AA143," ")</f>
        <v>Acuerdos o acciones ejecutadas</v>
      </c>
      <c r="E143" s="8"/>
      <c r="F143" s="8"/>
      <c r="G143" s="13"/>
      <c r="H143" s="8"/>
      <c r="I143" s="8"/>
      <c r="J143" s="8"/>
      <c r="K143" s="8"/>
      <c r="L143" s="1"/>
      <c r="AA143" s="26" t="s">
        <v>12</v>
      </c>
    </row>
    <row r="144" spans="1:27" x14ac:dyDescent="0.2">
      <c r="A144" s="8"/>
      <c r="B144" s="8"/>
      <c r="C144" s="17"/>
      <c r="D144" s="1"/>
      <c r="E144" s="1"/>
      <c r="F144" s="8"/>
      <c r="G144" s="13"/>
      <c r="H144" s="8"/>
      <c r="I144" s="8"/>
      <c r="J144" s="8"/>
      <c r="K144" s="8"/>
      <c r="L144" s="1"/>
      <c r="AA144" s="1"/>
    </row>
    <row r="145" spans="1:27" x14ac:dyDescent="0.2">
      <c r="A145" s="8"/>
      <c r="B145" s="21" t="s">
        <v>14</v>
      </c>
      <c r="C145" s="17"/>
      <c r="D145" s="1"/>
      <c r="E145" s="1"/>
      <c r="F145" s="8"/>
      <c r="G145" s="13"/>
      <c r="H145" s="8"/>
      <c r="I145" s="8"/>
      <c r="J145" s="8"/>
      <c r="K145" s="8"/>
      <c r="L145" s="1"/>
      <c r="AA145" s="26"/>
    </row>
    <row r="146" spans="1:27" ht="25.5" x14ac:dyDescent="0.2">
      <c r="A146" s="13">
        <v>70</v>
      </c>
      <c r="B146" s="36" t="s">
        <v>21</v>
      </c>
      <c r="C146" s="17" t="str">
        <f>'Para-responder'!C129</f>
        <v>NO</v>
      </c>
      <c r="D146" s="1" t="str">
        <f>IF(C146="SI",AA146," ")</f>
        <v xml:space="preserve"> </v>
      </c>
      <c r="E146" s="8"/>
      <c r="F146" s="8"/>
      <c r="G146" s="13"/>
      <c r="H146" s="8"/>
      <c r="I146" s="8"/>
      <c r="J146" s="8"/>
      <c r="K146" s="8"/>
      <c r="L146" s="1"/>
      <c r="AA146" s="26" t="s">
        <v>22</v>
      </c>
    </row>
    <row r="147" spans="1:27" ht="25.5" x14ac:dyDescent="0.2">
      <c r="A147" s="13">
        <v>71</v>
      </c>
      <c r="B147" s="36" t="s">
        <v>148</v>
      </c>
      <c r="C147" s="17" t="str">
        <f>'Para-responder'!C130</f>
        <v>SI</v>
      </c>
      <c r="D147" s="1" t="str">
        <f>IF(C147="SI",AA147," ")</f>
        <v>Programa de capacitación e informe de su ejecución</v>
      </c>
      <c r="E147" s="8"/>
      <c r="F147" s="8"/>
      <c r="G147" s="13"/>
      <c r="H147" s="8"/>
      <c r="I147" s="8"/>
      <c r="J147" s="8"/>
      <c r="K147" s="8"/>
      <c r="L147" s="1"/>
      <c r="AA147" s="26" t="s">
        <v>24</v>
      </c>
    </row>
    <row r="148" spans="1:27" x14ac:dyDescent="0.2">
      <c r="A148" s="13"/>
      <c r="B148" s="36"/>
      <c r="C148" s="17"/>
      <c r="D148" s="1"/>
      <c r="E148" s="8"/>
      <c r="F148" s="8"/>
      <c r="G148" s="13"/>
      <c r="H148" s="8"/>
      <c r="I148" s="8"/>
      <c r="J148" s="8"/>
      <c r="K148" s="8"/>
      <c r="L148" s="1"/>
      <c r="AA148" s="1"/>
    </row>
    <row r="149" spans="1:27" x14ac:dyDescent="0.2">
      <c r="A149" s="68"/>
      <c r="B149" s="68" t="s">
        <v>149</v>
      </c>
      <c r="C149" s="68"/>
      <c r="D149" s="1"/>
      <c r="E149" s="8"/>
      <c r="F149" s="8"/>
      <c r="G149" s="8"/>
      <c r="H149" s="8"/>
      <c r="I149" s="8"/>
      <c r="J149" s="8"/>
      <c r="K149" s="8"/>
      <c r="L149" s="1"/>
      <c r="AA149" s="1"/>
    </row>
    <row r="150" spans="1:27" x14ac:dyDescent="0.2">
      <c r="A150" s="8"/>
      <c r="B150" s="8"/>
      <c r="C150" s="17"/>
      <c r="D150" s="1"/>
      <c r="E150" s="8"/>
      <c r="F150" s="8"/>
      <c r="G150" s="8"/>
      <c r="H150" s="8"/>
      <c r="I150" s="8"/>
      <c r="J150" s="8"/>
      <c r="K150" s="8"/>
      <c r="L150" s="1"/>
      <c r="AA150" s="1"/>
    </row>
    <row r="151" spans="1:27" x14ac:dyDescent="0.2">
      <c r="A151" s="8"/>
      <c r="B151" s="21" t="s">
        <v>315</v>
      </c>
      <c r="C151" s="17"/>
      <c r="D151" s="1"/>
      <c r="E151" s="8"/>
      <c r="F151" s="8"/>
      <c r="G151" s="8"/>
      <c r="H151" s="8"/>
      <c r="I151" s="8"/>
      <c r="J151" s="8"/>
      <c r="K151" s="8"/>
      <c r="L151" s="1"/>
      <c r="AA151" s="1"/>
    </row>
    <row r="152" spans="1:27" ht="50.25" customHeight="1" x14ac:dyDescent="0.2">
      <c r="A152" s="13">
        <v>72</v>
      </c>
      <c r="B152" s="124" t="s">
        <v>150</v>
      </c>
      <c r="C152" s="125" t="str">
        <f>IF((C155/C154)&lt;=0.05,"Si", "No")</f>
        <v>Si</v>
      </c>
      <c r="D152" s="1" t="s">
        <v>151</v>
      </c>
      <c r="E152" s="8"/>
      <c r="F152" s="8"/>
      <c r="G152" s="8"/>
      <c r="H152" s="8"/>
      <c r="I152" s="8"/>
      <c r="J152" s="8"/>
      <c r="K152" s="8"/>
      <c r="L152" s="1"/>
      <c r="AA152" s="26"/>
    </row>
    <row r="153" spans="1:27" ht="47.25" customHeight="1" x14ac:dyDescent="0.2">
      <c r="A153" s="13">
        <v>73</v>
      </c>
      <c r="B153" s="124" t="s">
        <v>150</v>
      </c>
      <c r="C153" s="125" t="str">
        <f>IF((C156/C155)&lt;=0.05,"Si", "No")</f>
        <v>Si</v>
      </c>
      <c r="D153" s="1" t="s">
        <v>151</v>
      </c>
      <c r="E153" s="8"/>
      <c r="F153" s="8"/>
      <c r="G153" s="8"/>
      <c r="H153" s="8"/>
      <c r="I153" s="8"/>
      <c r="J153" s="8"/>
      <c r="K153" s="8"/>
      <c r="L153" s="1"/>
      <c r="AA153" s="26"/>
    </row>
    <row r="154" spans="1:27" x14ac:dyDescent="0.2">
      <c r="A154" s="13"/>
      <c r="B154" s="50" t="s">
        <v>152</v>
      </c>
      <c r="C154" s="198">
        <f>'Para-responder'!C133</f>
        <v>67205578000</v>
      </c>
      <c r="D154" s="1"/>
      <c r="E154" s="8"/>
      <c r="G154" s="8"/>
      <c r="H154" s="8"/>
      <c r="I154" s="8"/>
      <c r="J154" s="8"/>
      <c r="K154" s="8"/>
      <c r="L154" s="1"/>
      <c r="AA154" s="26"/>
    </row>
    <row r="155" spans="1:27" ht="15" customHeight="1" x14ac:dyDescent="0.2">
      <c r="A155" s="13"/>
      <c r="B155" s="50" t="s">
        <v>153</v>
      </c>
      <c r="C155" s="198">
        <f>'Para-responder'!C134</f>
        <v>-513166990</v>
      </c>
      <c r="D155" s="1"/>
      <c r="E155" s="8"/>
      <c r="F155" s="8"/>
      <c r="G155" s="13"/>
      <c r="H155" s="8"/>
      <c r="I155" s="8"/>
      <c r="J155" s="8"/>
      <c r="K155" s="8"/>
      <c r="L155" s="1"/>
      <c r="AA155" s="26"/>
    </row>
    <row r="156" spans="1:27" x14ac:dyDescent="0.2">
      <c r="A156" s="13">
        <v>79</v>
      </c>
      <c r="B156" s="124" t="s">
        <v>100</v>
      </c>
      <c r="C156" s="126">
        <f>(C157*1+C158*0.5)/(C160)</f>
        <v>0.8783783783783784</v>
      </c>
      <c r="D156" s="1"/>
      <c r="E156" s="8"/>
      <c r="F156" s="8"/>
      <c r="G156" s="13"/>
      <c r="H156" s="8"/>
      <c r="I156" s="8"/>
      <c r="J156" s="8"/>
      <c r="K156" s="8"/>
      <c r="L156" s="1"/>
      <c r="AA156" s="23"/>
    </row>
    <row r="157" spans="1:27" x14ac:dyDescent="0.2">
      <c r="A157" s="13"/>
      <c r="B157" s="50" t="s">
        <v>26</v>
      </c>
      <c r="C157" s="199">
        <f>'Para-responder'!C136</f>
        <v>31</v>
      </c>
      <c r="D157" s="1"/>
      <c r="E157" s="8"/>
      <c r="F157" s="8"/>
      <c r="G157" s="13"/>
      <c r="H157" s="8"/>
      <c r="I157" s="8"/>
      <c r="J157" s="8"/>
      <c r="K157" s="8"/>
      <c r="L157" s="1"/>
      <c r="AA157" s="1"/>
    </row>
    <row r="158" spans="1:27" x14ac:dyDescent="0.2">
      <c r="A158" s="13"/>
      <c r="B158" s="50" t="s">
        <v>28</v>
      </c>
      <c r="C158" s="199">
        <f>'Para-responder'!C137</f>
        <v>3</v>
      </c>
      <c r="D158" s="1"/>
      <c r="E158" s="8"/>
      <c r="F158" s="8"/>
      <c r="G158" s="13"/>
      <c r="H158" s="8"/>
      <c r="I158" s="8"/>
      <c r="J158" s="8"/>
      <c r="K158" s="8"/>
      <c r="L158" s="1"/>
      <c r="AA158" s="1"/>
    </row>
    <row r="159" spans="1:27" x14ac:dyDescent="0.2">
      <c r="A159" s="13"/>
      <c r="B159" s="50" t="s">
        <v>30</v>
      </c>
      <c r="C159" s="199">
        <f>'Para-responder'!C138</f>
        <v>3</v>
      </c>
      <c r="D159" s="1"/>
      <c r="E159" s="127"/>
      <c r="F159" s="8"/>
      <c r="G159" s="13"/>
      <c r="H159" s="8"/>
      <c r="I159" s="8"/>
      <c r="J159" s="8"/>
      <c r="K159" s="8"/>
      <c r="L159" s="1"/>
      <c r="AA159" s="1"/>
    </row>
    <row r="160" spans="1:27" x14ac:dyDescent="0.2">
      <c r="A160" s="13"/>
      <c r="B160" s="50" t="s">
        <v>25</v>
      </c>
      <c r="C160" s="199">
        <f>'Para-responder'!C135</f>
        <v>37</v>
      </c>
      <c r="D160" s="1"/>
      <c r="E160" s="8"/>
      <c r="F160" s="8"/>
      <c r="G160" s="13"/>
      <c r="H160" s="8"/>
      <c r="I160" s="8"/>
      <c r="J160" s="8"/>
      <c r="K160" s="8"/>
      <c r="L160" s="1"/>
      <c r="AA160" s="1"/>
    </row>
    <row r="161" spans="1:27" x14ac:dyDescent="0.2">
      <c r="A161" s="17">
        <v>80</v>
      </c>
      <c r="B161" s="128" t="s">
        <v>32</v>
      </c>
      <c r="C161" s="191">
        <f>'Para-responder'!C139</f>
        <v>1</v>
      </c>
      <c r="D161" s="1"/>
      <c r="E161" s="8"/>
      <c r="F161" s="8"/>
      <c r="G161" s="13"/>
      <c r="H161" s="8"/>
      <c r="I161" s="8"/>
      <c r="J161" s="8"/>
      <c r="K161" s="8"/>
      <c r="L161" s="1"/>
      <c r="AA161" s="1"/>
    </row>
    <row r="162" spans="1:27" ht="30" customHeight="1" x14ac:dyDescent="0.2">
      <c r="A162" s="13">
        <v>81</v>
      </c>
      <c r="B162" s="124" t="s">
        <v>101</v>
      </c>
      <c r="C162" s="125">
        <f>C164/C163</f>
        <v>0.89103888037388801</v>
      </c>
      <c r="D162" s="1"/>
      <c r="E162" s="8"/>
      <c r="F162" s="8"/>
      <c r="G162" s="13"/>
      <c r="H162" s="8"/>
      <c r="I162" s="8"/>
      <c r="J162" s="8"/>
      <c r="K162" s="8"/>
      <c r="L162" s="1"/>
      <c r="AA162" s="1"/>
    </row>
    <row r="163" spans="1:27" x14ac:dyDescent="0.2">
      <c r="A163" s="13"/>
      <c r="B163" s="50" t="s">
        <v>152</v>
      </c>
      <c r="C163" s="13">
        <f>C154</f>
        <v>67205578000</v>
      </c>
      <c r="D163" s="1"/>
      <c r="E163" s="8"/>
      <c r="F163" s="8"/>
      <c r="G163" s="13"/>
      <c r="H163" s="8"/>
      <c r="I163" s="8"/>
      <c r="J163" s="8"/>
      <c r="K163" s="8"/>
      <c r="L163" s="1"/>
      <c r="AA163" s="1"/>
    </row>
    <row r="164" spans="1:27" x14ac:dyDescent="0.2">
      <c r="A164" s="13"/>
      <c r="B164" s="50" t="s">
        <v>154</v>
      </c>
      <c r="C164" s="198">
        <f>'Para-responder'!C140</f>
        <v>59882782976</v>
      </c>
      <c r="D164" s="1"/>
      <c r="E164" s="8"/>
      <c r="F164" s="8"/>
      <c r="G164" s="13"/>
      <c r="H164" s="8"/>
      <c r="I164" s="8"/>
      <c r="J164" s="8"/>
      <c r="K164" s="8"/>
      <c r="L164" s="1"/>
      <c r="AA164" s="1"/>
    </row>
    <row r="165" spans="1:27" x14ac:dyDescent="0.2">
      <c r="A165" s="13"/>
      <c r="B165" s="50" t="s">
        <v>155</v>
      </c>
      <c r="C165" s="198">
        <f>'Para-responder'!C141</f>
        <v>68705578000</v>
      </c>
      <c r="D165" s="1"/>
      <c r="E165" s="8"/>
      <c r="F165" s="8"/>
      <c r="G165" s="13"/>
      <c r="H165" s="8"/>
      <c r="I165" s="8"/>
      <c r="J165" s="8"/>
      <c r="K165" s="8"/>
      <c r="L165" s="1"/>
      <c r="AA165" s="1"/>
    </row>
    <row r="166" spans="1:27" ht="25.5" x14ac:dyDescent="0.2">
      <c r="A166" s="13">
        <v>82</v>
      </c>
      <c r="B166" s="124" t="s">
        <v>156</v>
      </c>
      <c r="C166" s="13" t="str">
        <f>IF(C167=1,"Alto",IF(C167=0.5,"Medio","Bajo"))</f>
        <v>Alto</v>
      </c>
      <c r="D166" s="1" t="s">
        <v>151</v>
      </c>
      <c r="E166" s="8"/>
      <c r="F166" s="8"/>
      <c r="G166" s="13"/>
      <c r="H166" s="8"/>
      <c r="I166" s="8"/>
      <c r="J166" s="8"/>
      <c r="K166" s="8"/>
      <c r="L166" s="1"/>
      <c r="AA166" s="26" t="s">
        <v>157</v>
      </c>
    </row>
    <row r="167" spans="1:27" x14ac:dyDescent="0.2">
      <c r="A167" s="13"/>
      <c r="B167" s="124" t="s">
        <v>158</v>
      </c>
      <c r="C167" s="2">
        <f>IF(AND(C168&gt;0.8,C169&gt;0.8),1,IF(AND(C169&lt;0.8,C168&gt;0.8),0.5,0))</f>
        <v>1</v>
      </c>
      <c r="D167" s="1"/>
      <c r="E167" s="8"/>
      <c r="F167" s="8"/>
      <c r="G167" s="13"/>
      <c r="H167" s="8"/>
      <c r="I167" s="8"/>
      <c r="J167" s="8"/>
      <c r="K167" s="8"/>
      <c r="L167" s="1"/>
      <c r="AA167" s="1"/>
    </row>
    <row r="168" spans="1:27" x14ac:dyDescent="0.2">
      <c r="A168" s="13"/>
      <c r="B168" s="50" t="s">
        <v>100</v>
      </c>
      <c r="C168" s="129">
        <f>C156</f>
        <v>0.8783783783783784</v>
      </c>
      <c r="D168" s="1"/>
      <c r="E168" s="8"/>
      <c r="F168" s="8"/>
      <c r="G168" s="13"/>
      <c r="H168" s="8"/>
      <c r="I168" s="8"/>
      <c r="J168" s="8"/>
      <c r="K168" s="8"/>
      <c r="L168" s="1"/>
      <c r="AA168" s="1"/>
    </row>
    <row r="169" spans="1:27" x14ac:dyDescent="0.2">
      <c r="A169" s="13"/>
      <c r="B169" s="50" t="s">
        <v>101</v>
      </c>
      <c r="C169" s="129">
        <f>C162</f>
        <v>0.89103888037388801</v>
      </c>
      <c r="D169" s="1"/>
      <c r="E169" s="8"/>
      <c r="F169" s="8"/>
      <c r="G169" s="13"/>
      <c r="H169" s="8"/>
      <c r="I169" s="8"/>
      <c r="J169" s="8"/>
      <c r="K169" s="8"/>
      <c r="L169" s="1"/>
      <c r="AA169" s="1"/>
    </row>
    <row r="170" spans="1:27" x14ac:dyDescent="0.2">
      <c r="A170" s="13"/>
      <c r="B170" s="50"/>
      <c r="C170" s="129"/>
      <c r="D170" s="1"/>
      <c r="E170" s="8"/>
      <c r="F170" s="8"/>
      <c r="G170" s="13"/>
      <c r="H170" s="8"/>
      <c r="I170" s="8"/>
      <c r="J170" s="8"/>
      <c r="K170" s="8"/>
      <c r="L170" s="1"/>
      <c r="AA170" s="1"/>
    </row>
    <row r="171" spans="1:27" ht="25.5" x14ac:dyDescent="0.2">
      <c r="A171" s="8"/>
      <c r="B171" s="21" t="s">
        <v>159</v>
      </c>
      <c r="C171" s="17"/>
      <c r="D171" s="1"/>
      <c r="E171" s="8"/>
      <c r="F171" s="8"/>
      <c r="G171" s="13"/>
      <c r="H171" s="8"/>
      <c r="I171" s="8"/>
      <c r="J171" s="8"/>
      <c r="K171" s="8"/>
      <c r="L171" s="1"/>
      <c r="AA171" s="1"/>
    </row>
    <row r="172" spans="1:27" x14ac:dyDescent="0.2">
      <c r="A172" s="13">
        <v>83</v>
      </c>
      <c r="B172" s="23" t="s">
        <v>160</v>
      </c>
      <c r="C172" s="130" t="e">
        <f>C243</f>
        <v>#DIV/0!</v>
      </c>
      <c r="D172" s="1"/>
      <c r="E172" s="8"/>
      <c r="F172" s="8"/>
      <c r="G172" s="13"/>
      <c r="H172" s="8"/>
      <c r="I172" s="8"/>
      <c r="J172" s="8"/>
      <c r="K172" s="8"/>
      <c r="L172" s="1"/>
      <c r="AA172" s="1"/>
    </row>
    <row r="173" spans="1:27" x14ac:dyDescent="0.2">
      <c r="A173" s="13">
        <v>84</v>
      </c>
      <c r="B173" s="23" t="s">
        <v>104</v>
      </c>
      <c r="C173" s="130" t="e">
        <f>C240</f>
        <v>#DIV/0!</v>
      </c>
      <c r="D173" s="1"/>
      <c r="E173" s="8"/>
      <c r="F173" s="8"/>
      <c r="G173" s="13"/>
      <c r="H173" s="8"/>
      <c r="I173" s="8"/>
      <c r="J173" s="8"/>
      <c r="K173" s="8"/>
      <c r="L173" s="1"/>
      <c r="AA173" s="1"/>
    </row>
    <row r="174" spans="1:27" ht="25.5" x14ac:dyDescent="0.2">
      <c r="A174" s="13">
        <v>85</v>
      </c>
      <c r="B174" s="23" t="s">
        <v>105</v>
      </c>
      <c r="C174" s="130" t="e">
        <f>C241</f>
        <v>#DIV/0!</v>
      </c>
      <c r="D174" s="1"/>
      <c r="E174" s="8"/>
      <c r="F174" s="8"/>
      <c r="G174" s="13"/>
      <c r="H174" s="8"/>
      <c r="I174" s="8"/>
      <c r="J174" s="8"/>
      <c r="K174" s="8"/>
      <c r="L174" s="1"/>
    </row>
    <row r="175" spans="1:27" x14ac:dyDescent="0.2">
      <c r="A175" s="13">
        <v>86</v>
      </c>
      <c r="B175" s="23" t="s">
        <v>106</v>
      </c>
      <c r="C175" s="130" t="e">
        <f>C219/C224</f>
        <v>#DIV/0!</v>
      </c>
      <c r="D175" s="1"/>
      <c r="E175" s="8"/>
      <c r="F175" s="8"/>
      <c r="G175" s="13"/>
      <c r="H175" s="8"/>
      <c r="I175" s="8"/>
      <c r="J175" s="8"/>
      <c r="K175" s="8"/>
      <c r="L175" s="1"/>
      <c r="AA175" s="1"/>
    </row>
    <row r="176" spans="1:27" x14ac:dyDescent="0.2">
      <c r="A176" s="13"/>
      <c r="B176" s="23"/>
      <c r="C176" s="130"/>
      <c r="D176" s="1"/>
      <c r="E176" s="8"/>
      <c r="F176" s="8"/>
      <c r="G176" s="13"/>
      <c r="H176" s="8"/>
      <c r="I176" s="8"/>
      <c r="J176" s="8"/>
      <c r="K176" s="8"/>
      <c r="L176" s="1"/>
      <c r="AA176" s="1"/>
    </row>
    <row r="177" spans="1:27" x14ac:dyDescent="0.2">
      <c r="A177" s="13">
        <v>87</v>
      </c>
      <c r="B177" s="21" t="s">
        <v>161</v>
      </c>
      <c r="E177" s="8"/>
      <c r="F177" s="8"/>
      <c r="G177" s="13"/>
      <c r="H177" s="8"/>
      <c r="I177" s="8"/>
      <c r="J177" s="8"/>
      <c r="K177" s="8"/>
      <c r="L177" s="1"/>
    </row>
    <row r="178" spans="1:27" ht="25.5" x14ac:dyDescent="0.2">
      <c r="A178" s="13"/>
      <c r="B178" s="50" t="s">
        <v>162</v>
      </c>
      <c r="C178" s="56" t="str">
        <f>'Para-responder'!C151</f>
        <v>NO APLICA</v>
      </c>
      <c r="D178" s="4" t="s">
        <v>163</v>
      </c>
      <c r="E178" s="8"/>
      <c r="F178" s="8"/>
      <c r="G178" s="13"/>
      <c r="H178" s="8"/>
      <c r="I178" s="8"/>
      <c r="J178" s="8"/>
      <c r="K178" s="8"/>
      <c r="L178" s="1"/>
    </row>
    <row r="179" spans="1:27" x14ac:dyDescent="0.2">
      <c r="A179" s="13"/>
      <c r="E179" s="8"/>
      <c r="F179" s="8"/>
      <c r="G179" s="13"/>
      <c r="H179" s="8"/>
      <c r="I179" s="8"/>
      <c r="J179" s="8"/>
      <c r="K179" s="8"/>
      <c r="L179" s="1"/>
    </row>
    <row r="180" spans="1:27" x14ac:dyDescent="0.2">
      <c r="A180" s="13">
        <v>88</v>
      </c>
      <c r="B180" s="21" t="s">
        <v>164</v>
      </c>
      <c r="C180" s="65">
        <f>C182/C181</f>
        <v>0.87222266448865426</v>
      </c>
      <c r="F180" s="8"/>
      <c r="G180" s="13"/>
      <c r="H180" s="8"/>
      <c r="I180" s="8"/>
      <c r="J180" s="8"/>
      <c r="K180" s="8"/>
      <c r="L180" s="1"/>
    </row>
    <row r="181" spans="1:27" x14ac:dyDescent="0.2">
      <c r="A181" s="13"/>
      <c r="B181" s="50" t="s">
        <v>165</v>
      </c>
      <c r="C181" s="166">
        <f>'Para-responder'!C142</f>
        <v>3124800673</v>
      </c>
      <c r="F181" s="8"/>
      <c r="G181" s="13"/>
      <c r="H181" s="8"/>
      <c r="I181" s="8"/>
      <c r="J181" s="8"/>
      <c r="K181" s="8"/>
      <c r="L181" s="1"/>
    </row>
    <row r="182" spans="1:27" x14ac:dyDescent="0.2">
      <c r="A182" s="13"/>
      <c r="B182" s="50" t="s">
        <v>34</v>
      </c>
      <c r="C182" s="166">
        <f>'Para-responder'!C143</f>
        <v>2725521969</v>
      </c>
      <c r="F182" s="8"/>
      <c r="G182" s="13"/>
      <c r="H182" s="8"/>
      <c r="I182" s="8"/>
      <c r="J182" s="8"/>
      <c r="K182" s="8"/>
      <c r="L182" s="1"/>
    </row>
    <row r="183" spans="1:27" x14ac:dyDescent="0.2">
      <c r="A183" s="13"/>
      <c r="B183" s="23"/>
      <c r="C183" s="130"/>
      <c r="D183" s="1"/>
      <c r="F183" s="8"/>
      <c r="G183" s="13"/>
      <c r="H183" s="8"/>
      <c r="I183" s="8"/>
      <c r="J183" s="8"/>
      <c r="K183" s="8"/>
      <c r="L183" s="1"/>
      <c r="AA183" s="1"/>
    </row>
    <row r="184" spans="1:27" x14ac:dyDescent="0.2">
      <c r="A184" s="13"/>
      <c r="B184" s="21" t="s">
        <v>450</v>
      </c>
      <c r="C184" s="17"/>
      <c r="D184" s="1"/>
      <c r="F184" s="8"/>
      <c r="G184" s="13"/>
      <c r="H184" s="8"/>
      <c r="I184" s="8"/>
      <c r="J184" s="8"/>
      <c r="K184" s="8"/>
      <c r="L184" s="1"/>
      <c r="AA184" s="1"/>
    </row>
    <row r="185" spans="1:27" ht="51" x14ac:dyDescent="0.2">
      <c r="A185" s="13">
        <v>89</v>
      </c>
      <c r="B185" s="36" t="s">
        <v>466</v>
      </c>
      <c r="C185" s="17" t="str">
        <f>'Para-responder'!C83</f>
        <v>NO APLICA</v>
      </c>
      <c r="D185" s="1" t="str">
        <f>IF(C185="SI",AA185," ")</f>
        <v xml:space="preserve"> </v>
      </c>
      <c r="F185" s="8"/>
      <c r="G185" s="13"/>
      <c r="H185" s="8"/>
      <c r="L185" s="1"/>
      <c r="AA185" s="26" t="s">
        <v>465</v>
      </c>
    </row>
    <row r="186" spans="1:27" x14ac:dyDescent="0.2">
      <c r="A186" s="13">
        <v>90</v>
      </c>
      <c r="B186" s="36" t="s">
        <v>467</v>
      </c>
      <c r="C186" s="17" t="str">
        <f>'Para-responder'!C84</f>
        <v>SI</v>
      </c>
      <c r="D186" s="1" t="str">
        <f>IF(C186="SI",AA186," ")</f>
        <v>Mostrar últimos informes a Marzo y Septiembre</v>
      </c>
      <c r="E186" s="8"/>
      <c r="F186" s="8"/>
      <c r="G186" s="13"/>
      <c r="H186" s="8"/>
      <c r="I186" s="8"/>
      <c r="J186" s="8"/>
      <c r="K186" s="8"/>
      <c r="L186" s="1"/>
      <c r="AA186" s="26" t="s">
        <v>468</v>
      </c>
    </row>
    <row r="187" spans="1:27" x14ac:dyDescent="0.2">
      <c r="A187" s="13">
        <v>91</v>
      </c>
      <c r="B187" s="36" t="s">
        <v>469</v>
      </c>
      <c r="C187" s="17" t="str">
        <f>'Para-responder'!C85</f>
        <v>SI</v>
      </c>
      <c r="D187" s="1" t="str">
        <f>IF(C187="SI",AA187," ")</f>
        <v>Mostrar últimos dos informes</v>
      </c>
      <c r="E187" s="8"/>
      <c r="F187" s="8"/>
      <c r="G187" s="13"/>
      <c r="H187" s="8"/>
      <c r="I187" s="8"/>
      <c r="J187" s="8"/>
      <c r="K187" s="8"/>
      <c r="L187" s="1"/>
      <c r="AA187" s="26" t="s">
        <v>470</v>
      </c>
    </row>
    <row r="188" spans="1:27" ht="25.5" x14ac:dyDescent="0.2">
      <c r="A188" s="13">
        <v>92</v>
      </c>
      <c r="B188" s="36" t="s">
        <v>471</v>
      </c>
      <c r="C188" s="17" t="str">
        <f>'Para-responder'!C86</f>
        <v>SI</v>
      </c>
      <c r="D188" s="1" t="str">
        <f>IF(C188="SI",AA188," ")</f>
        <v>Documento que respalde la aprobación</v>
      </c>
      <c r="E188" s="8"/>
      <c r="F188" s="8"/>
      <c r="G188" s="13"/>
      <c r="H188" s="8"/>
      <c r="I188" s="8"/>
      <c r="J188" s="8"/>
      <c r="K188" s="8"/>
      <c r="L188" s="1"/>
      <c r="AA188" s="26" t="s">
        <v>472</v>
      </c>
    </row>
    <row r="189" spans="1:27" x14ac:dyDescent="0.2">
      <c r="A189" s="13">
        <v>93</v>
      </c>
      <c r="B189" s="23" t="s">
        <v>166</v>
      </c>
      <c r="C189" s="131">
        <f>C190/C191</f>
        <v>0.88857895078292459</v>
      </c>
      <c r="D189" s="1"/>
      <c r="E189" s="8"/>
      <c r="F189" s="8"/>
      <c r="G189" s="13"/>
      <c r="H189" s="8"/>
      <c r="I189" s="8"/>
      <c r="J189" s="8"/>
      <c r="K189" s="8"/>
      <c r="L189" s="1"/>
      <c r="AA189" s="1"/>
    </row>
    <row r="190" spans="1:27" x14ac:dyDescent="0.25">
      <c r="A190" s="13"/>
      <c r="B190" s="54" t="s">
        <v>35</v>
      </c>
      <c r="C190" s="132">
        <f>'Para-responder'!C144</f>
        <v>59717461986</v>
      </c>
      <c r="D190" s="1"/>
      <c r="E190" s="8"/>
      <c r="F190" s="8"/>
      <c r="G190" s="13"/>
      <c r="H190" s="8"/>
      <c r="I190" s="8"/>
      <c r="J190" s="8"/>
      <c r="K190" s="8"/>
      <c r="L190" s="1"/>
      <c r="AA190" s="1"/>
    </row>
    <row r="191" spans="1:27" x14ac:dyDescent="0.2">
      <c r="A191" s="13"/>
      <c r="B191" s="50" t="s">
        <v>152</v>
      </c>
      <c r="C191" s="133">
        <f>C154</f>
        <v>67205578000</v>
      </c>
      <c r="D191" s="1"/>
      <c r="E191" s="8"/>
      <c r="F191" s="8"/>
      <c r="G191" s="13"/>
      <c r="H191" s="8"/>
      <c r="I191" s="8"/>
      <c r="J191" s="8"/>
      <c r="K191" s="8"/>
      <c r="L191" s="1"/>
      <c r="AA191" s="1"/>
    </row>
    <row r="192" spans="1:27" x14ac:dyDescent="0.25">
      <c r="A192" s="13">
        <v>94</v>
      </c>
      <c r="B192" s="134" t="s">
        <v>109</v>
      </c>
      <c r="C192" s="135">
        <f>(C194-C193)/C165</f>
        <v>-2.4062236984601164E-3</v>
      </c>
      <c r="D192" s="1"/>
      <c r="E192" s="8"/>
      <c r="F192" s="8"/>
      <c r="G192" s="13"/>
      <c r="H192" s="8"/>
      <c r="I192" s="8"/>
      <c r="J192" s="8"/>
      <c r="K192" s="8"/>
      <c r="L192" s="1"/>
      <c r="AA192" s="1"/>
    </row>
    <row r="193" spans="1:34" x14ac:dyDescent="0.25">
      <c r="A193" s="13"/>
      <c r="B193" s="54" t="s">
        <v>167</v>
      </c>
      <c r="C193" s="132">
        <f>'Para-responder'!C145</f>
        <v>59882782976</v>
      </c>
      <c r="E193" s="8"/>
      <c r="F193" s="8"/>
      <c r="G193" s="13"/>
      <c r="H193" s="8"/>
      <c r="I193" s="8"/>
      <c r="J193" s="8"/>
      <c r="K193" s="8"/>
      <c r="L193" s="1"/>
      <c r="AA193" s="1"/>
    </row>
    <row r="194" spans="1:34" x14ac:dyDescent="0.25">
      <c r="A194" s="13"/>
      <c r="B194" s="54" t="s">
        <v>35</v>
      </c>
      <c r="C194" s="132">
        <f>C190</f>
        <v>59717461986</v>
      </c>
      <c r="D194" s="1"/>
      <c r="E194" s="8"/>
      <c r="F194" s="8"/>
      <c r="G194" s="13"/>
      <c r="H194" s="8"/>
      <c r="I194" s="8"/>
      <c r="J194" s="8"/>
      <c r="K194" s="8"/>
      <c r="L194" s="1"/>
      <c r="AA194" s="1"/>
    </row>
    <row r="195" spans="1:34" x14ac:dyDescent="0.2">
      <c r="A195" s="13"/>
      <c r="B195" s="50" t="s">
        <v>155</v>
      </c>
      <c r="C195" s="136">
        <f>C165</f>
        <v>68705578000</v>
      </c>
      <c r="D195" s="1"/>
      <c r="E195" s="8"/>
      <c r="F195" s="8"/>
      <c r="G195" s="13"/>
      <c r="H195" s="8"/>
      <c r="I195" s="8"/>
      <c r="J195" s="8"/>
      <c r="K195" s="8"/>
      <c r="L195" s="1"/>
      <c r="AA195" s="1"/>
    </row>
    <row r="196" spans="1:34" x14ac:dyDescent="0.2">
      <c r="A196" s="13">
        <v>95</v>
      </c>
      <c r="B196" s="134" t="s">
        <v>110</v>
      </c>
      <c r="C196" s="130">
        <f>C197/C198</f>
        <v>0</v>
      </c>
      <c r="D196" s="1"/>
      <c r="E196" s="8"/>
      <c r="F196" s="8"/>
      <c r="G196" s="13"/>
      <c r="H196" s="8"/>
      <c r="I196" s="8"/>
      <c r="J196" s="8"/>
      <c r="K196" s="8"/>
      <c r="L196" s="1"/>
      <c r="AA196" s="1"/>
    </row>
    <row r="197" spans="1:34" x14ac:dyDescent="0.25">
      <c r="A197" s="13"/>
      <c r="B197" s="54" t="s">
        <v>168</v>
      </c>
      <c r="C197" s="132">
        <f>'Para-responder'!C146</f>
        <v>0</v>
      </c>
      <c r="D197" s="19"/>
      <c r="E197" s="8"/>
      <c r="F197" s="8"/>
      <c r="G197" s="13"/>
      <c r="H197" s="8"/>
      <c r="I197" s="8"/>
      <c r="J197" s="8"/>
      <c r="K197" s="8"/>
      <c r="L197" s="1"/>
      <c r="AA197" s="19"/>
    </row>
    <row r="198" spans="1:34" x14ac:dyDescent="0.25">
      <c r="A198" s="13"/>
      <c r="B198" s="54" t="s">
        <v>152</v>
      </c>
      <c r="C198" s="132">
        <f>C163</f>
        <v>67205578000</v>
      </c>
      <c r="D198" s="19"/>
      <c r="E198" s="8"/>
      <c r="F198" s="8"/>
      <c r="G198" s="13"/>
      <c r="H198" s="8"/>
      <c r="I198" s="8"/>
      <c r="J198" s="8"/>
      <c r="K198" s="8"/>
      <c r="L198" s="1"/>
      <c r="AA198" s="19"/>
    </row>
    <row r="199" spans="1:34" x14ac:dyDescent="0.2">
      <c r="A199" s="13">
        <v>96</v>
      </c>
      <c r="B199" s="134" t="s">
        <v>169</v>
      </c>
      <c r="C199" s="137">
        <f>(C200-C201)/(C202-C201)</f>
        <v>0</v>
      </c>
      <c r="D199" s="1"/>
      <c r="E199" s="8"/>
      <c r="F199" s="8"/>
      <c r="G199" s="13"/>
      <c r="H199" s="8"/>
      <c r="I199" s="8"/>
      <c r="J199" s="8"/>
      <c r="K199" s="8"/>
      <c r="L199" s="1"/>
      <c r="AA199" s="1"/>
    </row>
    <row r="200" spans="1:34" x14ac:dyDescent="0.25">
      <c r="A200" s="13"/>
      <c r="B200" s="54" t="s">
        <v>170</v>
      </c>
      <c r="C200" s="132">
        <f>'Para-responder'!C147</f>
        <v>0</v>
      </c>
      <c r="D200" s="1"/>
      <c r="E200" s="28"/>
      <c r="F200" s="127"/>
      <c r="G200" s="13"/>
      <c r="H200" s="8"/>
      <c r="I200" s="8"/>
      <c r="J200" s="8"/>
      <c r="K200" s="8"/>
      <c r="L200" s="1"/>
      <c r="AA200" s="1"/>
    </row>
    <row r="201" spans="1:34" x14ac:dyDescent="0.25">
      <c r="A201" s="13"/>
      <c r="B201" s="54" t="s">
        <v>36</v>
      </c>
      <c r="C201" s="132">
        <f>'Para-responder'!C148</f>
        <v>0</v>
      </c>
      <c r="D201" s="1"/>
      <c r="E201" s="28"/>
      <c r="F201" s="28"/>
      <c r="G201" s="13"/>
      <c r="H201" s="8"/>
      <c r="I201" s="8"/>
      <c r="J201" s="8"/>
      <c r="K201" s="8"/>
      <c r="L201" s="1"/>
      <c r="AA201" s="1"/>
    </row>
    <row r="202" spans="1:34" x14ac:dyDescent="0.25">
      <c r="A202" s="13"/>
      <c r="B202" s="54" t="s">
        <v>152</v>
      </c>
      <c r="C202" s="132">
        <f>C163</f>
        <v>67205578000</v>
      </c>
      <c r="D202" s="1"/>
      <c r="E202" s="8"/>
      <c r="F202" s="28"/>
      <c r="K202" s="8"/>
      <c r="L202" s="1"/>
      <c r="AA202" s="1"/>
    </row>
    <row r="203" spans="1:34" s="30" customFormat="1" x14ac:dyDescent="0.2">
      <c r="A203" s="8"/>
      <c r="B203" s="17"/>
      <c r="C203" s="126"/>
      <c r="D203" s="1"/>
      <c r="E203" s="8"/>
      <c r="F203" s="8"/>
      <c r="G203" s="34"/>
      <c r="H203" s="28"/>
      <c r="I203" s="28"/>
      <c r="J203" s="28"/>
      <c r="K203" s="28"/>
      <c r="L203" s="19"/>
      <c r="M203" s="20"/>
      <c r="N203" s="4"/>
      <c r="O203" s="4"/>
      <c r="P203" s="4"/>
      <c r="Q203" s="4"/>
      <c r="R203" s="4"/>
      <c r="S203" s="4"/>
      <c r="T203" s="4"/>
      <c r="U203" s="4"/>
      <c r="V203" s="4"/>
      <c r="W203" s="4"/>
      <c r="X203" s="4"/>
      <c r="Y203" s="20"/>
      <c r="Z203" s="20"/>
      <c r="AA203" s="1"/>
      <c r="AB203" s="20"/>
      <c r="AC203" s="31"/>
      <c r="AD203" s="31"/>
      <c r="AE203" s="31"/>
      <c r="AF203" s="31"/>
      <c r="AG203" s="31"/>
      <c r="AH203" s="31"/>
    </row>
    <row r="204" spans="1:34" s="30" customFormat="1" x14ac:dyDescent="0.2">
      <c r="A204" s="13">
        <v>97</v>
      </c>
      <c r="B204" s="21" t="s">
        <v>496</v>
      </c>
      <c r="C204" s="126"/>
      <c r="D204" s="1"/>
      <c r="E204" s="8"/>
      <c r="F204" s="8"/>
      <c r="G204" s="34"/>
      <c r="H204" s="28"/>
      <c r="I204" s="28"/>
      <c r="J204" s="28"/>
      <c r="K204" s="28"/>
      <c r="L204" s="19"/>
      <c r="M204" s="20"/>
      <c r="N204" s="4"/>
      <c r="O204" s="4"/>
      <c r="P204" s="4"/>
      <c r="Q204" s="4"/>
      <c r="R204" s="4"/>
      <c r="S204" s="4"/>
      <c r="T204" s="4"/>
      <c r="U204" s="4"/>
      <c r="V204" s="4"/>
      <c r="W204" s="4"/>
      <c r="X204" s="4"/>
      <c r="Y204" s="20"/>
      <c r="Z204" s="20"/>
      <c r="AA204" s="1"/>
      <c r="AB204" s="20"/>
      <c r="AC204" s="31"/>
      <c r="AD204" s="31"/>
      <c r="AE204" s="31"/>
      <c r="AF204" s="31"/>
      <c r="AG204" s="31"/>
      <c r="AH204" s="31"/>
    </row>
    <row r="205" spans="1:34" ht="25.5" x14ac:dyDescent="0.2">
      <c r="A205" s="13"/>
      <c r="B205" s="50" t="s">
        <v>171</v>
      </c>
      <c r="C205" s="200">
        <f>'Para-responder'!C150</f>
        <v>0</v>
      </c>
      <c r="D205" s="4" t="s">
        <v>172</v>
      </c>
      <c r="E205" s="8"/>
      <c r="F205" s="8"/>
      <c r="G205" s="13"/>
      <c r="H205" s="8"/>
      <c r="I205" s="8"/>
      <c r="J205" s="8"/>
      <c r="K205" s="8"/>
      <c r="L205" s="1"/>
      <c r="X205" s="20"/>
      <c r="AA205" s="1"/>
    </row>
    <row r="206" spans="1:34" x14ac:dyDescent="0.2">
      <c r="A206" s="13"/>
      <c r="B206" s="17"/>
      <c r="C206" s="126"/>
      <c r="D206" s="1"/>
      <c r="E206" s="8"/>
      <c r="F206" s="8"/>
      <c r="G206" s="13"/>
      <c r="H206" s="8"/>
      <c r="I206" s="8"/>
      <c r="J206" s="8"/>
      <c r="K206" s="8"/>
      <c r="L206" s="1"/>
      <c r="X206" s="20"/>
      <c r="AA206" s="1"/>
    </row>
    <row r="207" spans="1:34" x14ac:dyDescent="0.2">
      <c r="A207" s="13"/>
      <c r="B207" s="21" t="s">
        <v>14</v>
      </c>
      <c r="C207" s="17"/>
      <c r="D207" s="1"/>
      <c r="E207" s="8"/>
      <c r="F207" s="8"/>
      <c r="G207" s="13"/>
      <c r="H207" s="8"/>
      <c r="I207" s="8"/>
      <c r="J207" s="8"/>
      <c r="K207" s="8"/>
      <c r="L207" s="1"/>
      <c r="W207" s="20"/>
      <c r="AA207" s="1"/>
    </row>
    <row r="208" spans="1:34" x14ac:dyDescent="0.2">
      <c r="A208" s="13">
        <v>98</v>
      </c>
      <c r="B208" s="134" t="s">
        <v>173</v>
      </c>
      <c r="C208" s="139">
        <f>IF(C210=0,2,C209/C210)</f>
        <v>2</v>
      </c>
      <c r="D208" s="140"/>
      <c r="E208" s="8"/>
      <c r="F208" s="8"/>
      <c r="G208" s="13"/>
      <c r="H208" s="8"/>
      <c r="I208" s="8"/>
      <c r="J208" s="8"/>
      <c r="K208" s="8"/>
      <c r="L208" s="1"/>
      <c r="W208" s="20"/>
      <c r="AA208" s="1"/>
    </row>
    <row r="209" spans="1:27" x14ac:dyDescent="0.25">
      <c r="A209" s="13"/>
      <c r="B209" s="54" t="s">
        <v>64</v>
      </c>
      <c r="C209" s="132">
        <f>'Para-responder'!C170</f>
        <v>0</v>
      </c>
      <c r="D209" s="1"/>
      <c r="E209" s="8"/>
      <c r="F209" s="8"/>
      <c r="G209" s="13"/>
      <c r="H209" s="8"/>
      <c r="I209" s="8"/>
      <c r="J209" s="8"/>
      <c r="K209" s="8"/>
      <c r="L209" s="1"/>
      <c r="O209" s="20"/>
      <c r="P209" s="20"/>
    </row>
    <row r="210" spans="1:27" x14ac:dyDescent="0.25">
      <c r="A210" s="13"/>
      <c r="B210" s="54" t="s">
        <v>65</v>
      </c>
      <c r="C210" s="132">
        <f>'Para-responder'!C171</f>
        <v>0</v>
      </c>
      <c r="D210" s="1"/>
      <c r="E210" s="8"/>
      <c r="F210" s="8"/>
      <c r="G210" s="13"/>
      <c r="H210" s="8"/>
      <c r="I210" s="8"/>
      <c r="J210" s="8"/>
      <c r="K210" s="8"/>
      <c r="L210" s="1"/>
      <c r="O210" s="20"/>
      <c r="P210" s="20"/>
    </row>
    <row r="211" spans="1:27" x14ac:dyDescent="0.2">
      <c r="A211" s="13"/>
      <c r="B211" s="30"/>
      <c r="C211" s="17"/>
      <c r="D211" s="140"/>
      <c r="E211" s="8"/>
      <c r="F211" s="8"/>
      <c r="G211" s="13"/>
      <c r="H211" s="8"/>
      <c r="I211" s="8"/>
      <c r="J211" s="8"/>
      <c r="K211" s="8"/>
      <c r="L211" s="1"/>
      <c r="N211" s="20"/>
      <c r="Q211" s="20"/>
      <c r="R211" s="20"/>
      <c r="S211" s="20"/>
      <c r="T211" s="20"/>
      <c r="U211" s="20"/>
      <c r="V211" s="20"/>
      <c r="AA211" s="1"/>
    </row>
    <row r="212" spans="1:27" x14ac:dyDescent="0.2">
      <c r="A212" s="13">
        <v>99</v>
      </c>
      <c r="B212" s="21" t="s">
        <v>473</v>
      </c>
      <c r="E212" s="8"/>
      <c r="F212" s="8"/>
      <c r="G212" s="13"/>
      <c r="H212" s="8"/>
      <c r="I212" s="8"/>
      <c r="J212" s="8"/>
      <c r="K212" s="8"/>
      <c r="L212" s="1"/>
      <c r="N212" s="20"/>
      <c r="Q212" s="20"/>
      <c r="R212" s="20"/>
      <c r="S212" s="20"/>
      <c r="T212" s="20"/>
      <c r="U212" s="20"/>
      <c r="V212" s="20"/>
    </row>
    <row r="213" spans="1:27" x14ac:dyDescent="0.2">
      <c r="A213" s="3"/>
      <c r="B213" s="141" t="s">
        <v>174</v>
      </c>
      <c r="C213" s="138"/>
      <c r="D213" s="4" t="s">
        <v>175</v>
      </c>
      <c r="E213" s="8"/>
      <c r="F213" s="8"/>
      <c r="G213" s="13"/>
      <c r="H213" s="8"/>
      <c r="I213" s="8"/>
      <c r="J213" s="8"/>
      <c r="K213" s="8"/>
      <c r="L213" s="1"/>
      <c r="N213" s="20"/>
      <c r="Q213" s="20"/>
      <c r="R213" s="20"/>
      <c r="S213" s="20"/>
      <c r="T213" s="20"/>
      <c r="U213" s="20"/>
      <c r="V213" s="20"/>
    </row>
    <row r="214" spans="1:27" x14ac:dyDescent="0.2">
      <c r="B214" s="2" t="s">
        <v>176</v>
      </c>
      <c r="D214" s="4" t="s">
        <v>177</v>
      </c>
      <c r="E214" s="8"/>
      <c r="F214" s="8"/>
      <c r="G214" s="13"/>
      <c r="H214" s="8"/>
      <c r="I214" s="8"/>
      <c r="J214" s="8"/>
      <c r="K214" s="8"/>
      <c r="L214" s="1"/>
      <c r="N214" s="20"/>
      <c r="Q214" s="20"/>
      <c r="R214" s="20"/>
      <c r="S214" s="20"/>
      <c r="T214" s="20"/>
      <c r="U214" s="20"/>
      <c r="V214" s="20"/>
    </row>
    <row r="215" spans="1:27" x14ac:dyDescent="0.2">
      <c r="E215" s="8"/>
      <c r="F215" s="8"/>
      <c r="G215" s="13"/>
      <c r="H215" s="8"/>
      <c r="I215" s="8"/>
      <c r="J215" s="8"/>
      <c r="K215" s="8"/>
      <c r="L215" s="1"/>
      <c r="N215" s="20"/>
      <c r="Q215" s="20"/>
      <c r="R215" s="20"/>
      <c r="S215" s="20"/>
      <c r="T215" s="20"/>
      <c r="U215" s="20"/>
      <c r="V215" s="20"/>
    </row>
    <row r="216" spans="1:27" ht="18.75" x14ac:dyDescent="0.2">
      <c r="B216" s="58" t="s">
        <v>40</v>
      </c>
      <c r="C216" s="25"/>
      <c r="F216" s="8"/>
      <c r="G216" s="13"/>
      <c r="H216" s="8"/>
      <c r="I216" s="8"/>
      <c r="J216" s="8"/>
      <c r="K216" s="8"/>
      <c r="L216" s="1"/>
      <c r="N216" s="20"/>
      <c r="Q216" s="20"/>
      <c r="R216" s="20"/>
      <c r="S216" s="20"/>
      <c r="T216" s="20"/>
      <c r="U216" s="20"/>
      <c r="V216" s="20"/>
    </row>
    <row r="217" spans="1:27" x14ac:dyDescent="0.2">
      <c r="B217" s="264" t="s">
        <v>43</v>
      </c>
      <c r="C217" s="61" t="s">
        <v>178</v>
      </c>
      <c r="F217" s="8"/>
      <c r="G217" s="13"/>
      <c r="H217" s="8"/>
      <c r="I217" s="8"/>
      <c r="J217" s="8"/>
      <c r="K217" s="8"/>
      <c r="L217" s="1"/>
    </row>
    <row r="218" spans="1:27" x14ac:dyDescent="0.2">
      <c r="B218" s="265"/>
      <c r="C218" s="142">
        <v>2010</v>
      </c>
      <c r="F218" s="8"/>
      <c r="G218" s="13"/>
      <c r="H218" s="8"/>
      <c r="I218" s="8"/>
      <c r="J218" s="8"/>
      <c r="K218" s="8"/>
      <c r="L218" s="1"/>
    </row>
    <row r="219" spans="1:27" x14ac:dyDescent="0.2">
      <c r="B219" s="62" t="s">
        <v>44</v>
      </c>
      <c r="C219" s="143">
        <f>'Para-responder'!C156</f>
        <v>0</v>
      </c>
      <c r="F219" s="8"/>
      <c r="G219" s="13"/>
      <c r="H219" s="8"/>
      <c r="I219" s="8"/>
      <c r="J219" s="8"/>
      <c r="K219" s="8"/>
      <c r="L219" s="1"/>
    </row>
    <row r="220" spans="1:27" x14ac:dyDescent="0.2">
      <c r="B220" s="2" t="s">
        <v>45</v>
      </c>
      <c r="C220" s="201">
        <f>'Para-responder'!C157</f>
        <v>0</v>
      </c>
      <c r="F220" s="8"/>
      <c r="G220" s="13"/>
      <c r="H220" s="8"/>
      <c r="I220" s="8"/>
      <c r="J220" s="8"/>
      <c r="K220" s="8"/>
      <c r="L220" s="1"/>
    </row>
    <row r="221" spans="1:27" x14ac:dyDescent="0.2">
      <c r="B221" s="2" t="s">
        <v>46</v>
      </c>
      <c r="C221" s="201">
        <f>'Para-responder'!C158</f>
        <v>0</v>
      </c>
      <c r="G221" s="13"/>
      <c r="H221" s="8"/>
      <c r="I221" s="8"/>
      <c r="J221" s="8"/>
      <c r="K221" s="8"/>
      <c r="L221" s="1"/>
    </row>
    <row r="222" spans="1:27" x14ac:dyDescent="0.2">
      <c r="B222" s="2" t="s">
        <v>47</v>
      </c>
      <c r="C222" s="201">
        <f>'Para-responder'!C159</f>
        <v>0</v>
      </c>
      <c r="G222" s="13"/>
      <c r="H222" s="8"/>
      <c r="I222" s="8"/>
      <c r="J222" s="8"/>
      <c r="K222" s="8"/>
      <c r="L222" s="1"/>
    </row>
    <row r="223" spans="1:27" x14ac:dyDescent="0.2">
      <c r="B223" s="62" t="s">
        <v>48</v>
      </c>
      <c r="C223" s="143">
        <f>'Para-responder'!C160</f>
        <v>0</v>
      </c>
      <c r="F223" s="8"/>
    </row>
    <row r="224" spans="1:27" x14ac:dyDescent="0.2">
      <c r="B224" s="63" t="s">
        <v>49</v>
      </c>
      <c r="C224" s="144">
        <f>'Para-responder'!C161</f>
        <v>0</v>
      </c>
      <c r="F224" s="8"/>
    </row>
    <row r="225" spans="2:12" x14ac:dyDescent="0.2">
      <c r="B225" s="2" t="s">
        <v>50</v>
      </c>
      <c r="C225" s="201">
        <f>'Para-responder'!C162</f>
        <v>0</v>
      </c>
      <c r="E225" s="4"/>
      <c r="F225" s="8"/>
      <c r="G225" s="13"/>
      <c r="H225" s="8"/>
      <c r="I225" s="8"/>
      <c r="J225" s="8"/>
      <c r="K225" s="8"/>
      <c r="L225" s="1"/>
    </row>
    <row r="226" spans="2:12" x14ac:dyDescent="0.2">
      <c r="B226" s="2" t="s">
        <v>51</v>
      </c>
      <c r="C226" s="201">
        <f>'Para-responder'!C163</f>
        <v>0</v>
      </c>
      <c r="F226" s="8"/>
      <c r="G226" s="13"/>
      <c r="H226" s="8"/>
      <c r="I226" s="8"/>
      <c r="J226" s="8"/>
      <c r="K226" s="8"/>
      <c r="L226" s="1"/>
    </row>
    <row r="227" spans="2:12" x14ac:dyDescent="0.2">
      <c r="B227" s="2" t="s">
        <v>52</v>
      </c>
      <c r="C227" s="201">
        <f>'Para-responder'!C164</f>
        <v>0</v>
      </c>
      <c r="F227" s="8"/>
      <c r="G227" s="13"/>
      <c r="H227" s="8"/>
      <c r="I227" s="8"/>
      <c r="J227" s="8"/>
      <c r="K227" s="8"/>
      <c r="L227" s="1"/>
    </row>
    <row r="228" spans="2:12" x14ac:dyDescent="0.2">
      <c r="B228" s="63" t="s">
        <v>53</v>
      </c>
      <c r="C228" s="144">
        <f>'Para-responder'!C165</f>
        <v>0</v>
      </c>
      <c r="G228" s="13"/>
      <c r="L228" s="1"/>
    </row>
    <row r="229" spans="2:12" x14ac:dyDescent="0.2">
      <c r="B229" s="62" t="s">
        <v>54</v>
      </c>
      <c r="C229" s="143">
        <f>'Para-responder'!C166</f>
        <v>0</v>
      </c>
      <c r="G229" s="13"/>
      <c r="H229" s="8"/>
      <c r="I229" s="8"/>
      <c r="J229" s="8"/>
      <c r="K229" s="8"/>
      <c r="L229" s="1"/>
    </row>
    <row r="230" spans="2:12" x14ac:dyDescent="0.2">
      <c r="B230" s="2" t="s">
        <v>55</v>
      </c>
      <c r="C230" s="201">
        <f>'Para-responder'!C167</f>
        <v>0</v>
      </c>
    </row>
    <row r="231" spans="2:12" x14ac:dyDescent="0.2">
      <c r="B231" s="2" t="s">
        <v>56</v>
      </c>
      <c r="C231" s="201">
        <f>'Para-responder'!C168</f>
        <v>0</v>
      </c>
    </row>
    <row r="232" spans="2:12" x14ac:dyDescent="0.2">
      <c r="B232" s="64" t="s">
        <v>63</v>
      </c>
      <c r="C232" s="202">
        <f>'Para-responder'!C169</f>
        <v>0</v>
      </c>
    </row>
    <row r="234" spans="2:12" x14ac:dyDescent="0.2">
      <c r="B234" s="2" t="s">
        <v>179</v>
      </c>
      <c r="C234" s="65">
        <f>C219-C223</f>
        <v>0</v>
      </c>
    </row>
    <row r="235" spans="2:12" ht="17.25" customHeight="1" x14ac:dyDescent="0.2">
      <c r="B235" s="2" t="s">
        <v>180</v>
      </c>
      <c r="C235" s="65">
        <f>C219-C230</f>
        <v>0</v>
      </c>
    </row>
    <row r="236" spans="2:12" x14ac:dyDescent="0.2">
      <c r="B236" s="2" t="s">
        <v>181</v>
      </c>
      <c r="C236" s="65">
        <f>C219-C232-C221</f>
        <v>0</v>
      </c>
    </row>
    <row r="237" spans="2:12" x14ac:dyDescent="0.2">
      <c r="B237" s="2" t="s">
        <v>182</v>
      </c>
      <c r="C237" s="65">
        <f>+C236-C230</f>
        <v>0</v>
      </c>
    </row>
    <row r="239" spans="2:12" x14ac:dyDescent="0.2">
      <c r="B239" s="146" t="s">
        <v>183</v>
      </c>
      <c r="C239" s="147" t="e">
        <f>C235/C219</f>
        <v>#DIV/0!</v>
      </c>
    </row>
    <row r="240" spans="2:12" x14ac:dyDescent="0.2">
      <c r="B240" s="148" t="s">
        <v>184</v>
      </c>
      <c r="C240" s="149" t="e">
        <f>C236/C219</f>
        <v>#DIV/0!</v>
      </c>
    </row>
    <row r="241" spans="2:3" x14ac:dyDescent="0.2">
      <c r="B241" s="148" t="s">
        <v>185</v>
      </c>
      <c r="C241" s="150" t="e">
        <f>C237/C235</f>
        <v>#DIV/0!</v>
      </c>
    </row>
    <row r="242" spans="2:3" x14ac:dyDescent="0.2">
      <c r="B242" s="148" t="s">
        <v>186</v>
      </c>
      <c r="C242" s="150" t="e">
        <f>C224/C219</f>
        <v>#DIV/0!</v>
      </c>
    </row>
    <row r="243" spans="2:3" x14ac:dyDescent="0.2">
      <c r="B243" s="64" t="s">
        <v>187</v>
      </c>
      <c r="C243" s="145" t="e">
        <f>C220/C225</f>
        <v>#DIV/0!</v>
      </c>
    </row>
  </sheetData>
  <sheetProtection password="DC75" sheet="1" objects="1" scenarios="1"/>
  <protectedRanges>
    <protectedRange sqref="C193" name="Rango25"/>
    <protectedRange sqref="C197" name="Rango24"/>
    <protectedRange sqref="C200:C201" name="ingresoPercibido"/>
    <protectedRange sqref="C205" name="su resultados"/>
    <protectedRange sqref="C213" name="ti resultados"/>
    <protectedRange sqref="C209:C210" name="rh resultados"/>
    <protectedRange sqref="C193" name="egresoPagado"/>
    <protectedRange sqref="C190" name="egresoDevengado"/>
    <protectedRange sqref="C185:C188" name="presu resultados"/>
    <protectedRange sqref="C181:C182" name="contra adm resultados"/>
    <protectedRange sqref="C178" name="control interno resultados"/>
    <protectedRange sqref="C163:C165" name="ejecucionpresu"/>
    <protectedRange sqref="C157:C161" name="cumplimientometas"/>
    <protectedRange sqref="C154:C155" name="plani resultados"/>
    <protectedRange sqref="C95:C147" name="segui"/>
    <protectedRange sqref="C87:C90" name="rh conso"/>
    <protectedRange sqref="C11:C15" name="Plan_conso"/>
    <protectedRange sqref="B4" name="nombre"/>
    <protectedRange sqref="B6" name="tipo"/>
    <protectedRange sqref="C18 C20:C26" name="fc_conso"/>
    <protectedRange sqref="C29 C36:C45" name="contr int_conso"/>
    <protectedRange sqref="C48:C56" name="ca_conso"/>
    <protectedRange sqref="C59:C63" name="presu_conso"/>
    <protectedRange sqref="C66:C78" name="ti_conso"/>
    <protectedRange sqref="C81:C84" name="su_conso"/>
    <protectedRange sqref="C30:C35" name="segui_1"/>
  </protectedRanges>
  <mergeCells count="6">
    <mergeCell ref="N18:W18"/>
    <mergeCell ref="B217:B218"/>
    <mergeCell ref="A1:C1"/>
    <mergeCell ref="A2:C2"/>
    <mergeCell ref="A8:B8"/>
    <mergeCell ref="O9:Q9"/>
  </mergeCells>
  <phoneticPr fontId="31" type="noConversion"/>
  <dataValidations count="5">
    <dataValidation type="list" showInputMessage="1" showErrorMessage="1" sqref="C11:C13 C15">
      <formula1>sino</formula1>
    </dataValidation>
    <dataValidation type="list" allowBlank="1" showInputMessage="1" showErrorMessage="1" sqref="B6">
      <formula1>inst</formula1>
    </dataValidation>
    <dataValidation type="list" allowBlank="1" showInputMessage="1" showErrorMessage="1" sqref="C30:C35 C18 C20:C26 C41 C84 C90 C99:C102 C119 C121 C125 C133 C137 C139 C185">
      <formula1>noap</formula1>
    </dataValidation>
    <dataValidation type="list" allowBlank="1" showInputMessage="1" showErrorMessage="1" sqref="C140:C143 C124 C40 C42:C43 C109 C106:C107 C111:C112 C45 C120 C37:C38 C146:C147 C114:C116 C95:C97 C81:C83 C87:C89 C128 C130:C132 C134:C136 C138 C186:C188">
      <formula1>sino</formula1>
    </dataValidation>
    <dataValidation type="list" showInputMessage="1" showErrorMessage="1" sqref="C14">
      <formula1>noap</formula1>
    </dataValidation>
  </dataValidations>
  <hyperlinks>
    <hyperlink ref="B214" r:id="rId1"/>
  </hyperlinks>
  <pageMargins left="0.75" right="0.75" top="1" bottom="1" header="0" footer="0"/>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C18" sqref="C17:C18"/>
    </sheetView>
  </sheetViews>
  <sheetFormatPr baseColWidth="10" defaultColWidth="11.5703125" defaultRowHeight="12.75" x14ac:dyDescent="0.2"/>
  <cols>
    <col min="1" max="1" width="11.5703125" style="219" customWidth="1"/>
    <col min="2" max="2" width="51.42578125" style="219" customWidth="1"/>
    <col min="3" max="3" width="12.5703125" style="227" customWidth="1"/>
    <col min="4" max="16384" width="11.5703125" style="219"/>
  </cols>
  <sheetData>
    <row r="1" spans="1:6" ht="18" x14ac:dyDescent="0.25">
      <c r="A1" s="274" t="s">
        <v>307</v>
      </c>
      <c r="B1" s="274"/>
      <c r="C1" s="274"/>
      <c r="D1" s="216"/>
      <c r="E1" s="217"/>
      <c r="F1" s="218"/>
    </row>
    <row r="2" spans="1:6" ht="18" x14ac:dyDescent="0.25">
      <c r="A2" s="275" t="str">
        <f>'Para-responder'!B4</f>
        <v>Ministerio de Justicia y Paz</v>
      </c>
      <c r="B2" s="275"/>
      <c r="C2" s="275"/>
      <c r="D2" s="221"/>
      <c r="E2" s="217"/>
      <c r="F2" s="217"/>
    </row>
    <row r="3" spans="1:6" ht="18" x14ac:dyDescent="0.25">
      <c r="A3" s="220"/>
      <c r="B3" s="220"/>
      <c r="C3" s="224"/>
      <c r="D3" s="220"/>
      <c r="E3" s="217"/>
      <c r="F3" s="217"/>
    </row>
    <row r="4" spans="1:6" ht="18" x14ac:dyDescent="0.25">
      <c r="A4" s="276" t="s">
        <v>247</v>
      </c>
      <c r="B4" s="276"/>
      <c r="C4" s="276"/>
      <c r="D4" s="221"/>
      <c r="E4" s="217"/>
      <c r="F4" s="217"/>
    </row>
    <row r="5" spans="1:6" ht="18" x14ac:dyDescent="0.25">
      <c r="A5" s="220"/>
      <c r="B5" s="220"/>
      <c r="C5" s="224"/>
      <c r="D5" s="220"/>
      <c r="E5" s="217"/>
      <c r="F5" s="217"/>
    </row>
    <row r="6" spans="1:6" ht="14.25" x14ac:dyDescent="0.2">
      <c r="A6" s="222"/>
      <c r="B6" s="223" t="s">
        <v>86</v>
      </c>
      <c r="C6" s="225">
        <f>'Por-tema'!C183</f>
        <v>100</v>
      </c>
      <c r="E6" s="222"/>
    </row>
    <row r="7" spans="1:6" ht="14.25" x14ac:dyDescent="0.2">
      <c r="A7" s="222"/>
      <c r="B7" s="223" t="s">
        <v>87</v>
      </c>
      <c r="C7" s="225">
        <f>'Por-tema'!C184</f>
        <v>0</v>
      </c>
      <c r="E7" s="222"/>
    </row>
    <row r="8" spans="1:6" ht="14.25" x14ac:dyDescent="0.2">
      <c r="A8" s="222"/>
      <c r="B8" s="223" t="s">
        <v>88</v>
      </c>
      <c r="C8" s="225">
        <f>'Por-tema'!C185</f>
        <v>78.94736842105263</v>
      </c>
      <c r="E8" s="222"/>
    </row>
    <row r="9" spans="1:6" ht="14.25" x14ac:dyDescent="0.2">
      <c r="A9" s="222"/>
      <c r="B9" s="223" t="s">
        <v>89</v>
      </c>
      <c r="C9" s="225">
        <f>'Por-tema'!C186</f>
        <v>100</v>
      </c>
      <c r="E9" s="222"/>
    </row>
    <row r="10" spans="1:6" ht="14.25" x14ac:dyDescent="0.2">
      <c r="A10" s="222"/>
      <c r="B10" s="223" t="s">
        <v>90</v>
      </c>
      <c r="C10" s="225">
        <f>'Por-tema'!C187</f>
        <v>100</v>
      </c>
      <c r="E10" s="222"/>
    </row>
    <row r="11" spans="1:6" ht="14.25" x14ac:dyDescent="0.2">
      <c r="A11" s="222"/>
      <c r="B11" s="223" t="s">
        <v>91</v>
      </c>
      <c r="C11" s="225">
        <f>'Por-tema'!C188</f>
        <v>30</v>
      </c>
      <c r="E11" s="222"/>
    </row>
    <row r="12" spans="1:6" ht="14.25" x14ac:dyDescent="0.2">
      <c r="A12" s="222"/>
      <c r="B12" s="223" t="s">
        <v>92</v>
      </c>
      <c r="C12" s="225">
        <f>'Por-tema'!C189</f>
        <v>88.888888888888886</v>
      </c>
      <c r="E12" s="222"/>
    </row>
    <row r="13" spans="1:6" ht="14.25" x14ac:dyDescent="0.2">
      <c r="A13" s="222"/>
      <c r="B13" s="223" t="s">
        <v>93</v>
      </c>
      <c r="C13" s="225">
        <f>'Por-tema'!C190</f>
        <v>60</v>
      </c>
      <c r="E13" s="222"/>
    </row>
    <row r="14" spans="1:6" ht="14.25" x14ac:dyDescent="0.2">
      <c r="A14" s="222"/>
      <c r="B14" s="223"/>
      <c r="C14" s="225"/>
      <c r="E14" s="222"/>
    </row>
    <row r="15" spans="1:6" ht="15.75" thickBot="1" x14ac:dyDescent="0.25">
      <c r="A15" s="222"/>
      <c r="B15" s="229" t="s">
        <v>145</v>
      </c>
      <c r="C15" s="226">
        <f>'Por-tema'!C192</f>
        <v>80.519480519480524</v>
      </c>
      <c r="E15" s="222"/>
    </row>
    <row r="16" spans="1:6" ht="15" thickTop="1" x14ac:dyDescent="0.2">
      <c r="A16" s="222"/>
      <c r="B16" s="223"/>
      <c r="C16" s="225"/>
      <c r="E16" s="222"/>
    </row>
  </sheetData>
  <sheetProtection password="D3B5" sheet="1" objects="1" scenarios="1"/>
  <mergeCells count="3">
    <mergeCell ref="A1:C1"/>
    <mergeCell ref="A2:C2"/>
    <mergeCell ref="A4:C4"/>
  </mergeCells>
  <phoneticPr fontId="31" type="noConversion"/>
  <pageMargins left="0.75" right="0.75" top="1" bottom="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C10" sqref="C10"/>
    </sheetView>
  </sheetViews>
  <sheetFormatPr baseColWidth="10" defaultColWidth="11.5703125" defaultRowHeight="15" x14ac:dyDescent="0.3"/>
  <cols>
    <col min="1" max="1" width="11.5703125" style="236" customWidth="1"/>
    <col min="2" max="2" width="38.85546875" style="249" customWidth="1"/>
    <col min="3" max="3" width="12.5703125" style="249" customWidth="1"/>
    <col min="4" max="16384" width="11.5703125" style="236"/>
  </cols>
  <sheetData>
    <row r="1" spans="1:6" ht="18.75" x14ac:dyDescent="0.3">
      <c r="A1" s="277" t="s">
        <v>307</v>
      </c>
      <c r="B1" s="277"/>
      <c r="C1" s="277"/>
      <c r="D1" s="277"/>
      <c r="E1" s="230"/>
      <c r="F1" s="231"/>
    </row>
    <row r="2" spans="1:6" ht="18.75" x14ac:dyDescent="0.3">
      <c r="A2" s="278" t="str">
        <f>'Para-responder'!B4</f>
        <v>Ministerio de Justicia y Paz</v>
      </c>
      <c r="B2" s="278"/>
      <c r="C2" s="278"/>
      <c r="D2" s="278"/>
      <c r="E2" s="230"/>
      <c r="F2" s="230"/>
    </row>
    <row r="3" spans="1:6" ht="12.75" x14ac:dyDescent="0.2">
      <c r="A3" s="237"/>
      <c r="B3" s="238" t="s">
        <v>512</v>
      </c>
      <c r="C3" s="239" t="s">
        <v>513</v>
      </c>
      <c r="D3" s="237"/>
      <c r="E3" s="237"/>
    </row>
    <row r="4" spans="1:6" ht="12.75" x14ac:dyDescent="0.2">
      <c r="A4" s="237"/>
      <c r="B4" s="240"/>
      <c r="C4" s="240"/>
      <c r="D4" s="237"/>
      <c r="E4" s="237"/>
    </row>
    <row r="5" spans="1:6" ht="12.75" x14ac:dyDescent="0.2">
      <c r="A5" s="237"/>
      <c r="B5" s="241" t="s">
        <v>514</v>
      </c>
      <c r="C5" s="242">
        <f>Cuestionario!V20</f>
        <v>73.958333333333329</v>
      </c>
      <c r="D5" s="237"/>
      <c r="E5" s="237"/>
    </row>
    <row r="6" spans="1:6" x14ac:dyDescent="0.2">
      <c r="A6" s="237"/>
      <c r="B6" s="243" t="s">
        <v>86</v>
      </c>
      <c r="C6" s="244">
        <f>Cuestionario!U21</f>
        <v>100</v>
      </c>
      <c r="E6" s="237"/>
    </row>
    <row r="7" spans="1:6" x14ac:dyDescent="0.2">
      <c r="A7" s="237"/>
      <c r="B7" s="243" t="s">
        <v>87</v>
      </c>
      <c r="C7" s="244">
        <f>Cuestionario!U22</f>
        <v>0</v>
      </c>
      <c r="E7" s="237"/>
    </row>
    <row r="8" spans="1:6" x14ac:dyDescent="0.2">
      <c r="A8" s="237"/>
      <c r="B8" s="243" t="s">
        <v>88</v>
      </c>
      <c r="C8" s="244">
        <f>Cuestionario!U23</f>
        <v>91.666666666666657</v>
      </c>
      <c r="E8" s="237"/>
    </row>
    <row r="9" spans="1:6" x14ac:dyDescent="0.2">
      <c r="A9" s="237"/>
      <c r="B9" s="243" t="s">
        <v>89</v>
      </c>
      <c r="C9" s="244">
        <f>Cuestionario!U24</f>
        <v>100</v>
      </c>
      <c r="E9" s="237"/>
    </row>
    <row r="10" spans="1:6" x14ac:dyDescent="0.2">
      <c r="A10" s="237"/>
      <c r="B10" s="243" t="s">
        <v>90</v>
      </c>
      <c r="C10" s="244">
        <f>Cuestionario!U25</f>
        <v>100</v>
      </c>
      <c r="E10" s="237"/>
    </row>
    <row r="11" spans="1:6" x14ac:dyDescent="0.2">
      <c r="A11" s="237"/>
      <c r="B11" s="243" t="s">
        <v>91</v>
      </c>
      <c r="C11" s="244">
        <f>Cuestionario!U26</f>
        <v>33.333333333333329</v>
      </c>
      <c r="E11" s="245"/>
    </row>
    <row r="12" spans="1:6" x14ac:dyDescent="0.2">
      <c r="A12" s="237"/>
      <c r="B12" s="243" t="s">
        <v>92</v>
      </c>
      <c r="C12" s="244">
        <f>Cuestionario!U27</f>
        <v>100</v>
      </c>
      <c r="E12" s="237"/>
    </row>
    <row r="13" spans="1:6" x14ac:dyDescent="0.2">
      <c r="A13" s="237"/>
      <c r="B13" s="243" t="s">
        <v>93</v>
      </c>
      <c r="C13" s="244">
        <f>Cuestionario!U28</f>
        <v>66.666666666666657</v>
      </c>
      <c r="E13" s="237"/>
    </row>
    <row r="14" spans="1:6" x14ac:dyDescent="0.3">
      <c r="A14" s="237"/>
      <c r="B14" s="246"/>
      <c r="C14" s="246"/>
      <c r="D14" s="237"/>
      <c r="E14" s="237"/>
    </row>
    <row r="15" spans="1:6" ht="12.75" x14ac:dyDescent="0.2">
      <c r="A15" s="237"/>
      <c r="B15" s="241" t="s">
        <v>515</v>
      </c>
      <c r="C15" s="242">
        <f>Cuestionario!V30</f>
        <v>63.809523809523803</v>
      </c>
      <c r="D15" s="237"/>
      <c r="E15" s="237"/>
    </row>
    <row r="16" spans="1:6" x14ac:dyDescent="0.2">
      <c r="A16" s="237"/>
      <c r="B16" s="243" t="s">
        <v>86</v>
      </c>
      <c r="C16" s="244">
        <f>Cuestionario!U31</f>
        <v>100</v>
      </c>
      <c r="D16" s="237"/>
      <c r="E16" s="237"/>
    </row>
    <row r="17" spans="1:5" x14ac:dyDescent="0.2">
      <c r="A17" s="237"/>
      <c r="B17" s="243" t="s">
        <v>87</v>
      </c>
      <c r="C17" s="244">
        <f>Cuestionario!U32</f>
        <v>0</v>
      </c>
      <c r="D17" s="237"/>
      <c r="E17" s="237"/>
    </row>
    <row r="18" spans="1:5" x14ac:dyDescent="0.2">
      <c r="A18" s="237"/>
      <c r="B18" s="243" t="s">
        <v>88</v>
      </c>
      <c r="C18" s="244">
        <f>Cuestionario!U33</f>
        <v>50</v>
      </c>
      <c r="D18" s="237"/>
      <c r="E18" s="237"/>
    </row>
    <row r="19" spans="1:5" x14ac:dyDescent="0.2">
      <c r="A19" s="237"/>
      <c r="B19" s="243" t="s">
        <v>89</v>
      </c>
      <c r="C19" s="244">
        <f>Cuestionario!U34</f>
        <v>66.666666666666657</v>
      </c>
      <c r="D19" s="237"/>
      <c r="E19" s="237"/>
    </row>
    <row r="20" spans="1:5" x14ac:dyDescent="0.2">
      <c r="A20" s="237"/>
      <c r="B20" s="243" t="s">
        <v>90</v>
      </c>
      <c r="C20" s="244">
        <f>Cuestionario!U35</f>
        <v>100</v>
      </c>
      <c r="D20" s="237"/>
      <c r="E20" s="237"/>
    </row>
    <row r="21" spans="1:5" x14ac:dyDescent="0.2">
      <c r="A21" s="237"/>
      <c r="B21" s="243" t="s">
        <v>92</v>
      </c>
      <c r="C21" s="244">
        <f>Cuestionario!U37</f>
        <v>80</v>
      </c>
      <c r="D21" s="237"/>
      <c r="E21" s="237"/>
    </row>
    <row r="22" spans="1:5" x14ac:dyDescent="0.2">
      <c r="A22" s="237"/>
      <c r="B22" s="243" t="s">
        <v>93</v>
      </c>
      <c r="C22" s="244">
        <f>Cuestionario!U38</f>
        <v>50</v>
      </c>
      <c r="D22" s="237"/>
      <c r="E22" s="237"/>
    </row>
    <row r="23" spans="1:5" ht="15.75" x14ac:dyDescent="0.3">
      <c r="A23" s="237"/>
      <c r="B23" s="246"/>
      <c r="C23" s="247"/>
      <c r="D23" s="237"/>
      <c r="E23" s="237"/>
    </row>
    <row r="24" spans="1:5" ht="12.75" x14ac:dyDescent="0.2">
      <c r="A24" s="237"/>
      <c r="B24" s="241" t="s">
        <v>516</v>
      </c>
      <c r="C24" s="242">
        <f>Cuestionario!V41</f>
        <v>49.166666666666671</v>
      </c>
      <c r="D24" s="237"/>
      <c r="E24" s="237"/>
    </row>
    <row r="25" spans="1:5" x14ac:dyDescent="0.3">
      <c r="A25" s="237"/>
      <c r="B25" s="246"/>
      <c r="C25" s="246"/>
      <c r="D25" s="237"/>
      <c r="E25" s="237"/>
    </row>
    <row r="26" spans="1:5" ht="13.5" thickBot="1" x14ac:dyDescent="0.25">
      <c r="A26" s="237"/>
      <c r="B26" s="248" t="s">
        <v>517</v>
      </c>
      <c r="C26" s="242">
        <f>Cuestionario!W20+Cuestionario!W30+Cuestionario!W40</f>
        <v>59.982142857142861</v>
      </c>
      <c r="D26" s="237"/>
      <c r="E26" s="237"/>
    </row>
    <row r="27" spans="1:5" ht="15.75" thickTop="1" x14ac:dyDescent="0.3">
      <c r="A27" s="237"/>
      <c r="B27" s="246"/>
      <c r="C27" s="246"/>
      <c r="D27" s="237"/>
      <c r="E27" s="237"/>
    </row>
  </sheetData>
  <sheetProtection password="D3B5" sheet="1" objects="1" scenarios="1"/>
  <mergeCells count="2">
    <mergeCell ref="A1:D1"/>
    <mergeCell ref="A2:D2"/>
  </mergeCells>
  <phoneticPr fontId="31" type="noConversion"/>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workbookViewId="0">
      <selection activeCell="B15" sqref="B15"/>
    </sheetView>
  </sheetViews>
  <sheetFormatPr baseColWidth="10" defaultRowHeight="15" x14ac:dyDescent="0.2"/>
  <cols>
    <col min="1" max="5" width="30.7109375" style="152" customWidth="1"/>
    <col min="6" max="6" width="18.42578125" style="232" hidden="1" customWidth="1"/>
    <col min="7" max="7" width="25.5703125" style="151" customWidth="1"/>
    <col min="8" max="16384" width="11.42578125" style="151"/>
  </cols>
  <sheetData>
    <row r="2" spans="1:6" ht="18.75" thickBot="1" x14ac:dyDescent="0.3">
      <c r="A2" s="279" t="s">
        <v>133</v>
      </c>
      <c r="B2" s="279"/>
      <c r="C2" s="279"/>
      <c r="D2" s="279"/>
      <c r="E2" s="279"/>
    </row>
    <row r="3" spans="1:6" ht="16.5" thickTop="1" thickBot="1" x14ac:dyDescent="0.25"/>
    <row r="4" spans="1:6" ht="16.5" thickTop="1" thickBot="1" x14ac:dyDescent="0.25">
      <c r="A4" s="153" t="s">
        <v>107</v>
      </c>
      <c r="B4" s="153" t="s">
        <v>188</v>
      </c>
      <c r="C4" s="153" t="s">
        <v>189</v>
      </c>
      <c r="D4" s="153" t="s">
        <v>190</v>
      </c>
      <c r="E4" s="153" t="s">
        <v>191</v>
      </c>
    </row>
    <row r="5" spans="1:6" ht="60" x14ac:dyDescent="0.2">
      <c r="A5" s="154" t="s">
        <v>100</v>
      </c>
      <c r="B5" s="154" t="s">
        <v>192</v>
      </c>
      <c r="C5" s="154" t="s">
        <v>193</v>
      </c>
      <c r="D5" s="154" t="s">
        <v>194</v>
      </c>
      <c r="E5" s="155" t="s">
        <v>195</v>
      </c>
      <c r="F5" s="233">
        <f>Cuestionario!C156</f>
        <v>0.8783783783783784</v>
      </c>
    </row>
    <row r="6" spans="1:6" x14ac:dyDescent="0.2">
      <c r="A6" s="155"/>
      <c r="B6" s="155"/>
      <c r="C6" s="155"/>
      <c r="D6" s="155"/>
      <c r="E6" s="155"/>
    </row>
    <row r="7" spans="1:6" ht="60" x14ac:dyDescent="0.2">
      <c r="A7" s="155" t="s">
        <v>101</v>
      </c>
      <c r="B7" s="155" t="s">
        <v>196</v>
      </c>
      <c r="C7" s="155" t="s">
        <v>197</v>
      </c>
      <c r="D7" s="155" t="s">
        <v>198</v>
      </c>
      <c r="E7" s="155" t="s">
        <v>199</v>
      </c>
      <c r="F7" s="232">
        <f>Cuestionario!C162</f>
        <v>0.89103888037388801</v>
      </c>
    </row>
    <row r="8" spans="1:6" x14ac:dyDescent="0.2">
      <c r="A8" s="155"/>
      <c r="B8" s="155"/>
      <c r="C8" s="155"/>
      <c r="D8" s="155"/>
      <c r="E8" s="155"/>
    </row>
    <row r="9" spans="1:6" ht="45" x14ac:dyDescent="0.2">
      <c r="A9" s="155" t="s">
        <v>110</v>
      </c>
      <c r="B9" s="155" t="s">
        <v>200</v>
      </c>
      <c r="C9" s="155" t="s">
        <v>201</v>
      </c>
      <c r="D9" s="155" t="s">
        <v>202</v>
      </c>
      <c r="E9" s="155" t="s">
        <v>199</v>
      </c>
      <c r="F9" s="234">
        <f>Cuestionario!C196</f>
        <v>0</v>
      </c>
    </row>
    <row r="10" spans="1:6" x14ac:dyDescent="0.2">
      <c r="A10" s="155"/>
      <c r="B10" s="155"/>
      <c r="C10" s="155"/>
      <c r="D10" s="155"/>
      <c r="E10" s="155"/>
    </row>
    <row r="11" spans="1:6" ht="60" x14ac:dyDescent="0.2">
      <c r="A11" s="155" t="s">
        <v>111</v>
      </c>
      <c r="B11" s="155" t="s">
        <v>203</v>
      </c>
      <c r="C11" s="155" t="s">
        <v>204</v>
      </c>
      <c r="D11" s="155" t="s">
        <v>205</v>
      </c>
      <c r="E11" s="155" t="s">
        <v>199</v>
      </c>
      <c r="F11" s="232">
        <f>Cuestionario!C199</f>
        <v>0</v>
      </c>
    </row>
    <row r="12" spans="1:6" x14ac:dyDescent="0.2">
      <c r="A12" s="155"/>
      <c r="B12" s="155"/>
      <c r="C12" s="155"/>
      <c r="D12" s="155"/>
      <c r="E12" s="155"/>
    </row>
    <row r="13" spans="1:6" ht="60" x14ac:dyDescent="0.2">
      <c r="A13" s="155" t="s">
        <v>166</v>
      </c>
      <c r="B13" s="155" t="s">
        <v>206</v>
      </c>
      <c r="C13" s="155" t="s">
        <v>207</v>
      </c>
      <c r="D13" s="155" t="s">
        <v>198</v>
      </c>
      <c r="E13" s="155" t="s">
        <v>199</v>
      </c>
      <c r="F13" s="232">
        <f>Cuestionario!C189</f>
        <v>0.88857895078292459</v>
      </c>
    </row>
    <row r="14" spans="1:6" x14ac:dyDescent="0.2">
      <c r="A14" s="155"/>
      <c r="B14" s="155"/>
      <c r="C14" s="155"/>
      <c r="D14" s="155"/>
      <c r="E14" s="155"/>
    </row>
    <row r="15" spans="1:6" ht="60" x14ac:dyDescent="0.2">
      <c r="A15" s="155" t="s">
        <v>109</v>
      </c>
      <c r="B15" s="155" t="s">
        <v>208</v>
      </c>
      <c r="C15" s="155" t="s">
        <v>209</v>
      </c>
      <c r="D15" s="155" t="s">
        <v>210</v>
      </c>
      <c r="E15" s="155" t="s">
        <v>211</v>
      </c>
      <c r="F15" s="232">
        <f>Cuestionario!C192</f>
        <v>-2.4062236984601164E-3</v>
      </c>
    </row>
    <row r="16" spans="1:6" x14ac:dyDescent="0.2">
      <c r="A16" s="155"/>
      <c r="B16" s="155"/>
      <c r="C16" s="155"/>
      <c r="D16" s="155"/>
      <c r="E16" s="155"/>
    </row>
    <row r="17" spans="1:6" ht="45" x14ac:dyDescent="0.2">
      <c r="A17" s="155" t="s">
        <v>160</v>
      </c>
      <c r="B17" s="155" t="s">
        <v>212</v>
      </c>
      <c r="C17" s="155" t="s">
        <v>213</v>
      </c>
      <c r="D17" s="155" t="s">
        <v>214</v>
      </c>
      <c r="E17" s="155" t="s">
        <v>215</v>
      </c>
      <c r="F17" s="234" t="e">
        <f>Cuestionario!C172</f>
        <v>#DIV/0!</v>
      </c>
    </row>
    <row r="18" spans="1:6" x14ac:dyDescent="0.2">
      <c r="A18" s="155"/>
      <c r="B18" s="155"/>
      <c r="C18" s="155"/>
      <c r="D18" s="155"/>
      <c r="E18" s="155"/>
    </row>
    <row r="19" spans="1:6" ht="60" x14ac:dyDescent="0.2">
      <c r="A19" s="155" t="s">
        <v>104</v>
      </c>
      <c r="B19" s="155" t="s">
        <v>216</v>
      </c>
      <c r="C19" s="155" t="s">
        <v>217</v>
      </c>
      <c r="D19" s="155" t="s">
        <v>218</v>
      </c>
      <c r="E19" s="155" t="s">
        <v>199</v>
      </c>
      <c r="F19" s="234" t="e">
        <f>Cuestionario!C173</f>
        <v>#DIV/0!</v>
      </c>
    </row>
    <row r="20" spans="1:6" x14ac:dyDescent="0.2">
      <c r="A20" s="155"/>
      <c r="B20" s="155"/>
      <c r="C20" s="155"/>
      <c r="D20" s="155"/>
      <c r="E20" s="155"/>
    </row>
    <row r="21" spans="1:6" ht="60" x14ac:dyDescent="0.2">
      <c r="A21" s="155" t="s">
        <v>106</v>
      </c>
      <c r="B21" s="155" t="s">
        <v>219</v>
      </c>
      <c r="C21" s="155" t="s">
        <v>220</v>
      </c>
      <c r="D21" s="155" t="s">
        <v>221</v>
      </c>
      <c r="E21" s="155" t="s">
        <v>222</v>
      </c>
      <c r="F21" s="234" t="e">
        <f>Cuestionario!C175</f>
        <v>#DIV/0!</v>
      </c>
    </row>
    <row r="22" spans="1:6" x14ac:dyDescent="0.2">
      <c r="A22" s="155"/>
      <c r="B22" s="155"/>
      <c r="C22" s="155"/>
      <c r="D22" s="155"/>
      <c r="E22" s="155"/>
    </row>
    <row r="23" spans="1:6" ht="60" x14ac:dyDescent="0.2">
      <c r="A23" s="155" t="s">
        <v>223</v>
      </c>
      <c r="B23" s="155" t="s">
        <v>224</v>
      </c>
      <c r="C23" s="155" t="s">
        <v>225</v>
      </c>
      <c r="D23" s="155" t="s">
        <v>226</v>
      </c>
      <c r="E23" s="155" t="s">
        <v>227</v>
      </c>
      <c r="F23" s="235">
        <f>Cuestionario!C208</f>
        <v>2</v>
      </c>
    </row>
    <row r="24" spans="1:6" x14ac:dyDescent="0.2">
      <c r="A24" s="155"/>
      <c r="B24" s="155"/>
      <c r="C24" s="155"/>
      <c r="D24" s="155"/>
      <c r="E24" s="155"/>
    </row>
    <row r="25" spans="1:6" ht="90" x14ac:dyDescent="0.2">
      <c r="A25" s="155" t="s">
        <v>248</v>
      </c>
      <c r="B25" s="155" t="s">
        <v>249</v>
      </c>
      <c r="C25" s="155" t="s">
        <v>250</v>
      </c>
      <c r="D25" s="155" t="s">
        <v>251</v>
      </c>
      <c r="E25" s="155" t="s">
        <v>252</v>
      </c>
      <c r="F25" s="232">
        <f>Cuestionario!C180</f>
        <v>0.87222266448865426</v>
      </c>
    </row>
    <row r="26" spans="1:6" ht="15.75" thickBot="1" x14ac:dyDescent="0.25">
      <c r="A26" s="156"/>
      <c r="B26" s="156"/>
      <c r="C26" s="156"/>
      <c r="D26" s="156"/>
      <c r="E26" s="156"/>
    </row>
    <row r="27" spans="1:6" ht="15.75" thickTop="1" x14ac:dyDescent="0.2"/>
  </sheetData>
  <sheetProtection password="D3B5" sheet="1" objects="1" scenarios="1"/>
  <mergeCells count="1">
    <mergeCell ref="A2:E2"/>
  </mergeCells>
  <phoneticPr fontId="31"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Instrucciones</vt:lpstr>
      <vt:lpstr>Para-responder</vt:lpstr>
      <vt:lpstr>Por-tema</vt:lpstr>
      <vt:lpstr>Cuestionario</vt:lpstr>
      <vt:lpstr>Resultados</vt:lpstr>
      <vt:lpstr>Ejes</vt:lpstr>
      <vt:lpstr>Indicadores</vt:lpstr>
      <vt:lpstr>Instrucciones!Área_de_impresión</vt:lpstr>
      <vt:lpstr>'Para-responder'!Área_de_impresión</vt:lpstr>
      <vt:lpstr>DatosContable</vt:lpstr>
      <vt:lpstr>inst</vt:lpstr>
      <vt:lpstr>noap</vt:lpstr>
      <vt:lpstr>sino</vt:lpstr>
      <vt:lpstr>'Para-responder'!Títulos_a_imprimir</vt:lpstr>
    </vt:vector>
  </TitlesOfParts>
  <Company>Contraloría General de la República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jsuarez</dc:creator>
  <cp:lastModifiedBy>Orlando Retana Umana</cp:lastModifiedBy>
  <cp:lastPrinted>2013-02-07T15:10:27Z</cp:lastPrinted>
  <dcterms:created xsi:type="dcterms:W3CDTF">2012-08-27T15:14:59Z</dcterms:created>
  <dcterms:modified xsi:type="dcterms:W3CDTF">2015-12-08T17:36:42Z</dcterms:modified>
</cp:coreProperties>
</file>